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G:\Shared drives\ET Shared Drive (Staff)\Active Projects (Staff)\CUNY ASAP Casemaking\Final Deliverables - External\Phase 1\archive\"/>
    </mc:Choice>
  </mc:AlternateContent>
  <xr:revisionPtr revIDLastSave="0" documentId="8_{1AA20B23-F7CF-4EE1-A421-FE821B3E09D2}" xr6:coauthVersionLast="47" xr6:coauthVersionMax="47" xr10:uidLastSave="{00000000-0000-0000-0000-000000000000}"/>
  <bookViews>
    <workbookView xWindow="28680" yWindow="-120" windowWidth="29040" windowHeight="15720" tabRatio="774" activeTab="2" xr2:uid="{AC925DA1-50CF-420E-9FCC-EB1D0717D7AA}"/>
  </bookViews>
  <sheets>
    <sheet name="README" sheetId="14" r:id="rId1"/>
    <sheet name="State Ranking" sheetId="9" r:id="rId2"/>
    <sheet name="State Detail" sheetId="2" r:id="rId3"/>
    <sheet name="All Data" sheetId="12" r:id="rId4"/>
    <sheet name="Raw Data" sheetId="3" state="hidden" r:id="rId5"/>
    <sheet name="Total Data" sheetId="10" state="hidden" r:id="rId6"/>
    <sheet name="Sup Governance Data" sheetId="11" state="hidden" r:id="rId7"/>
    <sheet name="Int Data - Summary" sheetId="8" state="hidden" r:id="rId8"/>
    <sheet name="Int Data - Case 1" sheetId="4" state="hidden" r:id="rId9"/>
    <sheet name="Int Data - Case 2" sheetId="5" state="hidden" r:id="rId10"/>
    <sheet name="Int Data - Case 3" sheetId="6" state="hidden" r:id="rId11"/>
    <sheet name="Int Data - Case 4" sheetId="7" state="hidden" r:id="rId12"/>
  </sheets>
  <definedNames>
    <definedName name="_xlnm._FilterDatabase" localSheetId="3" hidden="1">'All Data'!$A$1:$BL$54</definedName>
    <definedName name="_xlnm._FilterDatabase" localSheetId="6" hidden="1">'Sup Governance Data'!$A$1:$E$277</definedName>
    <definedName name="_xlnm._FilterDatabase" localSheetId="5" hidden="1">'Total Data'!$A$1:$CQ$51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247" i="2" l="1"/>
  <c r="BB247" i="2"/>
  <c r="AU247" i="2"/>
  <c r="AN247" i="2"/>
  <c r="AG247" i="2"/>
  <c r="Z247" i="2"/>
  <c r="S247" i="2"/>
  <c r="BO7" i="3"/>
  <c r="R53" i="12"/>
  <c r="P53" i="12"/>
  <c r="U53" i="12"/>
  <c r="R52" i="12"/>
  <c r="P52" i="12"/>
  <c r="U52" i="12"/>
  <c r="R51" i="12"/>
  <c r="P51" i="12"/>
  <c r="U51" i="12"/>
  <c r="R50" i="12"/>
  <c r="P50" i="12"/>
  <c r="U50" i="12"/>
  <c r="R49" i="12"/>
  <c r="P49" i="12"/>
  <c r="U49" i="12"/>
  <c r="R48" i="12"/>
  <c r="P48" i="12"/>
  <c r="U48" i="12"/>
  <c r="R47" i="12"/>
  <c r="P47" i="12"/>
  <c r="U47" i="12"/>
  <c r="P46" i="12"/>
  <c r="U46" i="12"/>
  <c r="R45" i="12"/>
  <c r="P45" i="12"/>
  <c r="U45" i="12"/>
  <c r="R43" i="12"/>
  <c r="P43" i="12"/>
  <c r="U43" i="12"/>
  <c r="R42" i="12"/>
  <c r="U42" i="12"/>
  <c r="R41" i="12"/>
  <c r="P41" i="12"/>
  <c r="U41" i="12"/>
  <c r="R40" i="12"/>
  <c r="P40" i="12"/>
  <c r="U40" i="12"/>
  <c r="R39" i="12"/>
  <c r="P39" i="12"/>
  <c r="U39" i="12"/>
  <c r="R38" i="12"/>
  <c r="P38" i="12"/>
  <c r="U38" i="12"/>
  <c r="R37" i="12"/>
  <c r="P37" i="12"/>
  <c r="U37" i="12"/>
  <c r="R36" i="12"/>
  <c r="P36" i="12"/>
  <c r="U36" i="12"/>
  <c r="R35" i="12"/>
  <c r="P35" i="12"/>
  <c r="U35" i="12"/>
  <c r="R34" i="12"/>
  <c r="P34" i="12"/>
  <c r="U34" i="12"/>
  <c r="R33" i="12"/>
  <c r="P33" i="12"/>
  <c r="U33" i="12"/>
  <c r="R32" i="12"/>
  <c r="P32" i="12"/>
  <c r="U32" i="12"/>
  <c r="R31" i="12"/>
  <c r="P31" i="12"/>
  <c r="U31" i="12"/>
  <c r="R30" i="12"/>
  <c r="P30" i="12"/>
  <c r="U30" i="12"/>
  <c r="R29" i="12"/>
  <c r="P29" i="12"/>
  <c r="U29" i="12"/>
  <c r="R28" i="12"/>
  <c r="P28" i="12"/>
  <c r="U28" i="12"/>
  <c r="R27" i="12"/>
  <c r="P27" i="12"/>
  <c r="U27" i="12"/>
  <c r="R26" i="12"/>
  <c r="P26" i="12"/>
  <c r="U26" i="12"/>
  <c r="R25" i="12"/>
  <c r="P25" i="12"/>
  <c r="U25" i="12"/>
  <c r="P24" i="12"/>
  <c r="U24" i="12"/>
  <c r="R22" i="12"/>
  <c r="P22" i="12"/>
  <c r="U22" i="12"/>
  <c r="R21" i="12"/>
  <c r="P21" i="12"/>
  <c r="U21" i="12"/>
  <c r="R20" i="12"/>
  <c r="P20" i="12"/>
  <c r="U20" i="12"/>
  <c r="R19" i="12"/>
  <c r="P19" i="12"/>
  <c r="U19" i="12"/>
  <c r="R18" i="12"/>
  <c r="P18" i="12"/>
  <c r="U18" i="12"/>
  <c r="R17" i="12"/>
  <c r="P17" i="12"/>
  <c r="U17" i="12"/>
  <c r="R16" i="12"/>
  <c r="P16" i="12"/>
  <c r="U16" i="12"/>
  <c r="R15" i="12"/>
  <c r="P15" i="12"/>
  <c r="U15" i="12"/>
  <c r="R14" i="12"/>
  <c r="P14" i="12"/>
  <c r="U14" i="12"/>
  <c r="R13" i="12"/>
  <c r="P13" i="12"/>
  <c r="U13" i="12"/>
  <c r="R12" i="12"/>
  <c r="P12" i="12"/>
  <c r="U12" i="12"/>
  <c r="R11" i="12"/>
  <c r="P11" i="12"/>
  <c r="U11" i="12"/>
  <c r="R10" i="12"/>
  <c r="P10" i="12"/>
  <c r="U10" i="12"/>
  <c r="R9" i="12"/>
  <c r="P9" i="12"/>
  <c r="U9" i="12"/>
  <c r="AI8" i="12"/>
  <c r="R8" i="12"/>
  <c r="P8" i="12"/>
  <c r="U8" i="12"/>
  <c r="R7" i="12"/>
  <c r="P7" i="12"/>
  <c r="U7" i="12"/>
  <c r="R6" i="12"/>
  <c r="P6" i="12"/>
  <c r="U6" i="12"/>
  <c r="R5" i="12"/>
  <c r="P5" i="12"/>
  <c r="U5" i="12"/>
  <c r="R4" i="12"/>
  <c r="P4" i="12"/>
  <c r="U4" i="12"/>
  <c r="R3" i="12"/>
  <c r="P3" i="12"/>
  <c r="U3" i="12"/>
  <c r="R2" i="12"/>
  <c r="P2" i="12"/>
  <c r="U2" i="12"/>
  <c r="AJ8" i="12" l="1"/>
  <c r="S43" i="3" l="1"/>
  <c r="S3" i="3"/>
  <c r="Q3" i="7"/>
  <c r="Q4" i="7"/>
  <c r="Q5" i="7"/>
  <c r="Q6" i="7"/>
  <c r="Q7" i="7"/>
  <c r="Q8" i="7"/>
  <c r="Q9" i="7"/>
  <c r="Q10" i="7"/>
  <c r="Q11" i="7"/>
  <c r="Q12" i="7"/>
  <c r="Q13" i="7"/>
  <c r="Q14" i="7"/>
  <c r="Q15" i="7"/>
  <c r="Q16" i="7"/>
  <c r="Q17" i="7"/>
  <c r="Q18" i="7"/>
  <c r="Q19" i="7"/>
  <c r="Q20" i="7"/>
  <c r="Q21" i="7"/>
  <c r="Q22" i="7"/>
  <c r="Q23" i="7"/>
  <c r="Q24" i="7"/>
  <c r="Q25" i="7"/>
  <c r="Q26" i="7"/>
  <c r="Q27" i="7"/>
  <c r="Q28" i="7"/>
  <c r="Q29" i="7"/>
  <c r="Q30" i="7"/>
  <c r="Q31" i="7"/>
  <c r="Q32" i="7"/>
  <c r="Q33" i="7"/>
  <c r="Q34" i="7"/>
  <c r="Q35" i="7"/>
  <c r="Q36" i="7"/>
  <c r="Q37" i="7"/>
  <c r="Q38" i="7"/>
  <c r="Q39" i="7"/>
  <c r="Q40" i="7"/>
  <c r="Q41" i="7"/>
  <c r="Q42" i="7"/>
  <c r="Q43" i="7"/>
  <c r="Q44" i="7"/>
  <c r="AO240" i="2" s="1"/>
  <c r="Q45" i="7"/>
  <c r="Q46" i="7"/>
  <c r="Q47" i="7"/>
  <c r="Q48" i="7"/>
  <c r="Q49" i="7"/>
  <c r="Q50" i="7"/>
  <c r="Q51" i="7"/>
  <c r="Q2" i="7"/>
  <c r="P2" i="7"/>
  <c r="P3" i="7"/>
  <c r="P4" i="7"/>
  <c r="P5" i="7"/>
  <c r="P6" i="7"/>
  <c r="P7" i="7"/>
  <c r="P8" i="7"/>
  <c r="P9" i="7"/>
  <c r="P10" i="7"/>
  <c r="P11" i="7"/>
  <c r="P12" i="7"/>
  <c r="P13" i="7"/>
  <c r="P14" i="7"/>
  <c r="P15" i="7"/>
  <c r="P16" i="7"/>
  <c r="P17" i="7"/>
  <c r="P18" i="7"/>
  <c r="P19" i="7"/>
  <c r="P20" i="7"/>
  <c r="P21" i="7"/>
  <c r="P22" i="7"/>
  <c r="P23" i="7"/>
  <c r="P24" i="7"/>
  <c r="P25" i="7"/>
  <c r="P26" i="7"/>
  <c r="P27" i="7"/>
  <c r="P28" i="7"/>
  <c r="P29" i="7"/>
  <c r="P30" i="7"/>
  <c r="P31" i="7"/>
  <c r="P32" i="7"/>
  <c r="P33" i="7"/>
  <c r="P34" i="7"/>
  <c r="P35" i="7"/>
  <c r="P36" i="7"/>
  <c r="P37" i="7"/>
  <c r="P38" i="7"/>
  <c r="P39" i="7"/>
  <c r="P40" i="7"/>
  <c r="P41" i="7"/>
  <c r="P42" i="7"/>
  <c r="P43" i="7"/>
  <c r="P44" i="7"/>
  <c r="AO236" i="2" s="1"/>
  <c r="P45" i="7"/>
  <c r="P46" i="7"/>
  <c r="P47" i="7"/>
  <c r="P48" i="7"/>
  <c r="P49" i="7"/>
  <c r="P50" i="7"/>
  <c r="P51" i="7"/>
  <c r="W3" i="6"/>
  <c r="W4" i="6"/>
  <c r="W5" i="6"/>
  <c r="W6" i="6"/>
  <c r="W7" i="6"/>
  <c r="W8" i="6"/>
  <c r="W9" i="6"/>
  <c r="W10" i="6"/>
  <c r="W11" i="6"/>
  <c r="W12" i="6"/>
  <c r="W13" i="6"/>
  <c r="W14" i="6"/>
  <c r="W15" i="6"/>
  <c r="W16" i="6"/>
  <c r="W17" i="6"/>
  <c r="W18" i="6"/>
  <c r="W19" i="6"/>
  <c r="W20" i="6"/>
  <c r="W21" i="6"/>
  <c r="W22" i="6"/>
  <c r="W23" i="6"/>
  <c r="W24" i="6"/>
  <c r="W25" i="6"/>
  <c r="W26" i="6"/>
  <c r="W27" i="6"/>
  <c r="W28" i="6"/>
  <c r="W29" i="6"/>
  <c r="W30" i="6"/>
  <c r="W31" i="6"/>
  <c r="W32" i="6"/>
  <c r="W33" i="6"/>
  <c r="W34" i="6"/>
  <c r="W35" i="6"/>
  <c r="W36" i="6"/>
  <c r="W37" i="6"/>
  <c r="W38" i="6"/>
  <c r="W39" i="6"/>
  <c r="W40" i="6"/>
  <c r="W41" i="6"/>
  <c r="W42" i="6"/>
  <c r="W43" i="6"/>
  <c r="W44" i="6"/>
  <c r="AO192" i="2" s="1"/>
  <c r="W45" i="6"/>
  <c r="W46" i="6"/>
  <c r="W47" i="6"/>
  <c r="W48" i="6"/>
  <c r="W49" i="6"/>
  <c r="W50" i="6"/>
  <c r="W51" i="6"/>
  <c r="W2" i="6"/>
  <c r="V3" i="6"/>
  <c r="V4" i="6"/>
  <c r="V5" i="6"/>
  <c r="V6" i="6"/>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V40" i="6"/>
  <c r="V41" i="6"/>
  <c r="V42" i="6"/>
  <c r="V43" i="6"/>
  <c r="V44" i="6"/>
  <c r="AO188" i="2" s="1"/>
  <c r="V45" i="6"/>
  <c r="V46" i="6"/>
  <c r="V47" i="6"/>
  <c r="V48" i="6"/>
  <c r="V49" i="6"/>
  <c r="V50" i="6"/>
  <c r="V51" i="6"/>
  <c r="V2" i="6"/>
  <c r="U3" i="6"/>
  <c r="U4" i="6"/>
  <c r="U5" i="6"/>
  <c r="U6" i="6"/>
  <c r="U7" i="6"/>
  <c r="U8" i="6"/>
  <c r="U9" i="6"/>
  <c r="U10" i="6"/>
  <c r="U11" i="6"/>
  <c r="U12" i="6"/>
  <c r="U13" i="6"/>
  <c r="U14" i="6"/>
  <c r="U15" i="6"/>
  <c r="U16" i="6"/>
  <c r="U17" i="6"/>
  <c r="U18" i="6"/>
  <c r="U19" i="6"/>
  <c r="U20" i="6"/>
  <c r="U21" i="6"/>
  <c r="U22" i="6"/>
  <c r="U23" i="6"/>
  <c r="U24" i="6"/>
  <c r="U25" i="6"/>
  <c r="U26" i="6"/>
  <c r="U27" i="6"/>
  <c r="U28" i="6"/>
  <c r="U29" i="6"/>
  <c r="U30" i="6"/>
  <c r="U31" i="6"/>
  <c r="U32" i="6"/>
  <c r="U33" i="6"/>
  <c r="U34" i="6"/>
  <c r="U35" i="6"/>
  <c r="U36" i="6"/>
  <c r="U37" i="6"/>
  <c r="U38" i="6"/>
  <c r="U39" i="6"/>
  <c r="U40" i="6"/>
  <c r="U41" i="6"/>
  <c r="U42" i="6"/>
  <c r="U43" i="6"/>
  <c r="U44" i="6"/>
  <c r="AO184" i="2" s="1"/>
  <c r="U45" i="6"/>
  <c r="U46" i="6"/>
  <c r="U47" i="6"/>
  <c r="U48" i="6"/>
  <c r="U49" i="6"/>
  <c r="U50" i="6"/>
  <c r="U51" i="6"/>
  <c r="U2" i="6"/>
  <c r="T2" i="6"/>
  <c r="T3" i="6"/>
  <c r="T4" i="6"/>
  <c r="T5" i="6"/>
  <c r="T6" i="6"/>
  <c r="T7" i="6"/>
  <c r="T8" i="6"/>
  <c r="T9" i="6"/>
  <c r="T10" i="6"/>
  <c r="T11" i="6"/>
  <c r="T12" i="6"/>
  <c r="T13" i="6"/>
  <c r="T14" i="6"/>
  <c r="T15" i="6"/>
  <c r="T16" i="6"/>
  <c r="T17" i="6"/>
  <c r="T18" i="6"/>
  <c r="T19" i="6"/>
  <c r="T20" i="6"/>
  <c r="T21" i="6"/>
  <c r="T22" i="6"/>
  <c r="T23" i="6"/>
  <c r="T24" i="6"/>
  <c r="T25" i="6"/>
  <c r="T26" i="6"/>
  <c r="T27" i="6"/>
  <c r="T28" i="6"/>
  <c r="T29" i="6"/>
  <c r="T30" i="6"/>
  <c r="T31" i="6"/>
  <c r="T32" i="6"/>
  <c r="T33" i="6"/>
  <c r="T34" i="6"/>
  <c r="T35" i="6"/>
  <c r="T36" i="6"/>
  <c r="T37" i="6"/>
  <c r="T38" i="6"/>
  <c r="T39" i="6"/>
  <c r="T40" i="6"/>
  <c r="T41" i="6"/>
  <c r="T42" i="6"/>
  <c r="T43" i="6"/>
  <c r="T44" i="6"/>
  <c r="AO180" i="2" s="1"/>
  <c r="T45" i="6"/>
  <c r="T46" i="6"/>
  <c r="T47" i="6"/>
  <c r="T48" i="6"/>
  <c r="T49" i="6"/>
  <c r="T50" i="6"/>
  <c r="T51" i="6"/>
  <c r="AA3" i="5"/>
  <c r="AA4" i="5"/>
  <c r="AA5" i="5"/>
  <c r="AA6" i="5"/>
  <c r="AA7" i="5"/>
  <c r="AA8" i="5"/>
  <c r="AA9" i="5"/>
  <c r="AA10" i="5"/>
  <c r="AA11" i="5"/>
  <c r="AA12" i="5"/>
  <c r="AA13" i="5"/>
  <c r="AA14" i="5"/>
  <c r="AA15" i="5"/>
  <c r="AA16" i="5"/>
  <c r="AA17" i="5"/>
  <c r="AA18" i="5"/>
  <c r="AA19" i="5"/>
  <c r="AA20" i="5"/>
  <c r="AA21" i="5"/>
  <c r="AA22" i="5"/>
  <c r="AA23" i="5"/>
  <c r="AA24" i="5"/>
  <c r="AA25" i="5"/>
  <c r="AA26" i="5"/>
  <c r="AA27" i="5"/>
  <c r="AA28" i="5"/>
  <c r="AA29" i="5"/>
  <c r="AA30" i="5"/>
  <c r="AA31" i="5"/>
  <c r="AA32" i="5"/>
  <c r="AA33" i="5"/>
  <c r="AA34" i="5"/>
  <c r="AA35" i="5"/>
  <c r="AA36" i="5"/>
  <c r="AA37" i="5"/>
  <c r="AA38" i="5"/>
  <c r="AA39" i="5"/>
  <c r="AA40" i="5"/>
  <c r="AA41" i="5"/>
  <c r="AA42" i="5"/>
  <c r="AA43" i="5"/>
  <c r="AA44" i="5"/>
  <c r="AO136" i="2" s="1"/>
  <c r="AA45" i="5"/>
  <c r="AA46" i="5"/>
  <c r="AA47" i="5"/>
  <c r="AA48" i="5"/>
  <c r="AA49" i="5"/>
  <c r="AA50" i="5"/>
  <c r="AA51" i="5"/>
  <c r="AA2" i="5"/>
  <c r="Z3" i="5"/>
  <c r="Z4" i="5"/>
  <c r="Z5" i="5"/>
  <c r="Z6" i="5"/>
  <c r="Z7" i="5"/>
  <c r="Z8" i="5"/>
  <c r="Z9" i="5"/>
  <c r="Z10" i="5"/>
  <c r="Z11" i="5"/>
  <c r="Z12" i="5"/>
  <c r="Z13" i="5"/>
  <c r="Z14" i="5"/>
  <c r="Z15" i="5"/>
  <c r="Z16" i="5"/>
  <c r="Z17" i="5"/>
  <c r="Z18" i="5"/>
  <c r="Z19" i="5"/>
  <c r="Z20" i="5"/>
  <c r="Z21" i="5"/>
  <c r="Z22" i="5"/>
  <c r="Z23" i="5"/>
  <c r="Z24" i="5"/>
  <c r="Z25" i="5"/>
  <c r="Z26" i="5"/>
  <c r="Z27" i="5"/>
  <c r="Z28" i="5"/>
  <c r="Z29" i="5"/>
  <c r="Z30" i="5"/>
  <c r="Z31" i="5"/>
  <c r="Z32" i="5"/>
  <c r="Z33" i="5"/>
  <c r="Z34" i="5"/>
  <c r="Z35" i="5"/>
  <c r="Z36" i="5"/>
  <c r="Z37" i="5"/>
  <c r="Z38" i="5"/>
  <c r="Z39" i="5"/>
  <c r="Z40" i="5"/>
  <c r="Z41" i="5"/>
  <c r="Z42" i="5"/>
  <c r="Z43" i="5"/>
  <c r="Z44" i="5"/>
  <c r="AO132" i="2" s="1"/>
  <c r="Z45" i="5"/>
  <c r="Z46" i="5"/>
  <c r="Z47" i="5"/>
  <c r="Z48" i="5"/>
  <c r="Z49" i="5"/>
  <c r="Z50" i="5"/>
  <c r="Z51" i="5"/>
  <c r="Z2" i="5"/>
  <c r="Y3" i="5"/>
  <c r="Y4" i="5"/>
  <c r="Y5" i="5"/>
  <c r="Y6" i="5"/>
  <c r="Y7" i="5"/>
  <c r="Y8" i="5"/>
  <c r="Y9" i="5"/>
  <c r="Y10" i="5"/>
  <c r="Y11" i="5"/>
  <c r="Y12" i="5"/>
  <c r="Y13" i="5"/>
  <c r="Y14" i="5"/>
  <c r="Y15" i="5"/>
  <c r="Y16" i="5"/>
  <c r="Y17" i="5"/>
  <c r="Y18" i="5"/>
  <c r="Y19" i="5"/>
  <c r="Y20" i="5"/>
  <c r="Y21" i="5"/>
  <c r="Y22" i="5"/>
  <c r="Y23" i="5"/>
  <c r="Y24" i="5"/>
  <c r="Y25" i="5"/>
  <c r="Y26" i="5"/>
  <c r="Y27" i="5"/>
  <c r="Y28" i="5"/>
  <c r="Y29" i="5"/>
  <c r="Y30" i="5"/>
  <c r="Y31" i="5"/>
  <c r="Y32" i="5"/>
  <c r="Y33" i="5"/>
  <c r="Y34" i="5"/>
  <c r="Y35" i="5"/>
  <c r="Y36" i="5"/>
  <c r="Y37" i="5"/>
  <c r="Y38" i="5"/>
  <c r="Y39" i="5"/>
  <c r="Y40" i="5"/>
  <c r="Y41" i="5"/>
  <c r="Y42" i="5"/>
  <c r="Y43" i="5"/>
  <c r="Y44" i="5"/>
  <c r="AO128" i="2" s="1"/>
  <c r="Y45" i="5"/>
  <c r="Y46" i="5"/>
  <c r="Y47" i="5"/>
  <c r="Y48" i="5"/>
  <c r="Y49" i="5"/>
  <c r="Y50" i="5"/>
  <c r="Y51" i="5"/>
  <c r="Y2" i="5"/>
  <c r="U3" i="4"/>
  <c r="U4" i="4"/>
  <c r="U5" i="4"/>
  <c r="U6" i="4"/>
  <c r="U7" i="4"/>
  <c r="U8" i="4"/>
  <c r="U9" i="4"/>
  <c r="U10" i="4"/>
  <c r="U11" i="4"/>
  <c r="U12" i="4"/>
  <c r="U13" i="4"/>
  <c r="U14" i="4"/>
  <c r="U15" i="4"/>
  <c r="U16" i="4"/>
  <c r="U17" i="4"/>
  <c r="U18" i="4"/>
  <c r="U19" i="4"/>
  <c r="U20" i="4"/>
  <c r="U21" i="4"/>
  <c r="U22" i="4"/>
  <c r="U23" i="4"/>
  <c r="U24" i="4"/>
  <c r="U25" i="4"/>
  <c r="U26" i="4"/>
  <c r="U27" i="4"/>
  <c r="U28" i="4"/>
  <c r="U29" i="4"/>
  <c r="U30" i="4"/>
  <c r="U31" i="4"/>
  <c r="U32" i="4"/>
  <c r="U33" i="4"/>
  <c r="U34" i="4"/>
  <c r="U35" i="4"/>
  <c r="U36" i="4"/>
  <c r="U37" i="4"/>
  <c r="U38" i="4"/>
  <c r="U39" i="4"/>
  <c r="U40" i="4"/>
  <c r="U41" i="4"/>
  <c r="U42" i="4"/>
  <c r="U43" i="4"/>
  <c r="U44" i="4"/>
  <c r="AO91" i="2" s="1"/>
  <c r="U45" i="4"/>
  <c r="U46" i="4"/>
  <c r="U47" i="4"/>
  <c r="U48" i="4"/>
  <c r="U49" i="4"/>
  <c r="U50" i="4"/>
  <c r="U51" i="4"/>
  <c r="U2" i="4"/>
  <c r="T4" i="4"/>
  <c r="S22" i="4"/>
  <c r="Y240" i="2"/>
  <c r="Y236" i="2"/>
  <c r="AG223" i="2"/>
  <c r="AN223" i="2"/>
  <c r="Z223" i="2"/>
  <c r="S223" i="2"/>
  <c r="Y216" i="2"/>
  <c r="Y232" i="2"/>
  <c r="AG232" i="2"/>
  <c r="Y207" i="2"/>
  <c r="Y203" i="2"/>
  <c r="Y180" i="2"/>
  <c r="AK54" i="3"/>
  <c r="AK53" i="3"/>
  <c r="AG180" i="2" s="1"/>
  <c r="Y192" i="2"/>
  <c r="Y188" i="2"/>
  <c r="Y184" i="2"/>
  <c r="Y168" i="2"/>
  <c r="Y164" i="2"/>
  <c r="Y155" i="2"/>
  <c r="Y151" i="2"/>
  <c r="Y147" i="2"/>
  <c r="Y128" i="2"/>
  <c r="Y136" i="2"/>
  <c r="Y132" i="2"/>
  <c r="Y103" i="2"/>
  <c r="Y91" i="2"/>
  <c r="Y87" i="2"/>
  <c r="Y83" i="2"/>
  <c r="Y74" i="2"/>
  <c r="Y70" i="2"/>
  <c r="Y61" i="2"/>
  <c r="Y57" i="2"/>
  <c r="Y53" i="2"/>
  <c r="BP30" i="2" a="1"/>
  <c r="BP30" i="2" s="1"/>
  <c r="AW30" i="2" a="1"/>
  <c r="AW30" i="2" s="1"/>
  <c r="AJ37" i="2"/>
  <c r="Y37" i="2"/>
  <c r="AJ31" i="2"/>
  <c r="Y31" i="2"/>
  <c r="AJ26" i="2"/>
  <c r="Y26" i="2"/>
  <c r="Y21" i="2"/>
  <c r="BF23" i="2"/>
  <c r="BO23" i="2"/>
  <c r="U53" i="3"/>
  <c r="AG132" i="2" s="1"/>
  <c r="V53" i="3"/>
  <c r="AG136" i="2" s="1"/>
  <c r="U54" i="3"/>
  <c r="V54" i="3"/>
  <c r="AF53" i="3"/>
  <c r="AG91" i="2" s="1"/>
  <c r="AF54" i="3"/>
  <c r="AR53" i="3"/>
  <c r="AG184" i="2" s="1"/>
  <c r="AS53" i="3"/>
  <c r="AG188" i="2" s="1"/>
  <c r="AT53" i="3"/>
  <c r="AG192" i="2" s="1"/>
  <c r="AU53" i="3"/>
  <c r="AG236" i="2" s="1"/>
  <c r="AV53" i="3"/>
  <c r="AG128" i="2" s="1"/>
  <c r="AW53" i="3"/>
  <c r="AG240" i="2" s="1"/>
  <c r="AR54" i="3"/>
  <c r="AS54" i="3"/>
  <c r="AT54" i="3"/>
  <c r="AU54" i="3"/>
  <c r="AV54" i="3"/>
  <c r="AW54" i="3"/>
  <c r="F53" i="3"/>
  <c r="G53" i="3"/>
  <c r="H53" i="3"/>
  <c r="I53" i="3"/>
  <c r="J53" i="3"/>
  <c r="K53" i="3"/>
  <c r="F54" i="3"/>
  <c r="G54" i="3"/>
  <c r="H54" i="3"/>
  <c r="I54" i="3"/>
  <c r="J54" i="3"/>
  <c r="K54" i="3"/>
  <c r="E53" i="3"/>
  <c r="E54" i="3"/>
  <c r="H3" i="6"/>
  <c r="G3" i="6"/>
  <c r="G4" i="6"/>
  <c r="G8" i="6"/>
  <c r="G10" i="6"/>
  <c r="G11" i="6"/>
  <c r="G15" i="6"/>
  <c r="G18" i="6"/>
  <c r="G24" i="6"/>
  <c r="G26" i="6"/>
  <c r="G27" i="6"/>
  <c r="G30" i="6"/>
  <c r="G36" i="6"/>
  <c r="G38" i="6"/>
  <c r="G39" i="6"/>
  <c r="G42" i="6"/>
  <c r="G46" i="6"/>
  <c r="G50" i="6"/>
  <c r="G2" i="6"/>
  <c r="F3" i="6"/>
  <c r="F4" i="6"/>
  <c r="F5" i="6"/>
  <c r="F6" i="6"/>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2" i="6"/>
  <c r="E3" i="6"/>
  <c r="Y230" i="2"/>
  <c r="Y178" i="2"/>
  <c r="Y126" i="2"/>
  <c r="Y81" i="2"/>
  <c r="AO54" i="3"/>
  <c r="AN54" i="3"/>
  <c r="AM54" i="3"/>
  <c r="AL54" i="3"/>
  <c r="AH54" i="3"/>
  <c r="AG54" i="3"/>
  <c r="AC54" i="3"/>
  <c r="AB54" i="3"/>
  <c r="AA54" i="3"/>
  <c r="Y54" i="3"/>
  <c r="T54" i="3"/>
  <c r="R54" i="3"/>
  <c r="Q54" i="3"/>
  <c r="P54" i="3"/>
  <c r="O54" i="3"/>
  <c r="N54" i="3"/>
  <c r="M54" i="3"/>
  <c r="L54" i="3"/>
  <c r="AO53" i="3"/>
  <c r="AG164" i="2"/>
  <c r="AN53" i="3"/>
  <c r="AM53" i="3"/>
  <c r="AL53" i="3"/>
  <c r="AH53" i="3"/>
  <c r="AG151" i="2" s="1"/>
  <c r="AG53" i="3"/>
  <c r="AG147" i="2"/>
  <c r="AC53" i="3"/>
  <c r="AG74" i="2" s="1"/>
  <c r="AB53" i="3"/>
  <c r="AG70" i="2" s="1"/>
  <c r="AA53" i="3"/>
  <c r="AG61" i="2" s="1"/>
  <c r="Y53" i="3"/>
  <c r="AG53" i="2" s="1"/>
  <c r="T53" i="3"/>
  <c r="AG103" i="2" s="1"/>
  <c r="R53" i="3"/>
  <c r="Q53" i="3"/>
  <c r="P53" i="3"/>
  <c r="O53" i="3"/>
  <c r="N53" i="3"/>
  <c r="M53" i="3"/>
  <c r="L53" i="3"/>
  <c r="CM51" i="10"/>
  <c r="CL51" i="10"/>
  <c r="CI51" i="10"/>
  <c r="CN51" i="10"/>
  <c r="CF51" i="10"/>
  <c r="CE51" i="10"/>
  <c r="BZ51" i="10"/>
  <c r="BV51" i="10"/>
  <c r="BP51" i="10"/>
  <c r="BM51" i="10"/>
  <c r="S51" i="10"/>
  <c r="CM49" i="10"/>
  <c r="CL49" i="10"/>
  <c r="CI49" i="10"/>
  <c r="CF49" i="10"/>
  <c r="CE49" i="10"/>
  <c r="BZ49" i="10"/>
  <c r="BV49" i="10"/>
  <c r="BP49" i="10"/>
  <c r="BM49" i="10"/>
  <c r="S49" i="10"/>
  <c r="CM50" i="10"/>
  <c r="CL50" i="10"/>
  <c r="CI50" i="10"/>
  <c r="CN50" i="10"/>
  <c r="CF50" i="10"/>
  <c r="CE50" i="10"/>
  <c r="BZ50" i="10"/>
  <c r="BV50" i="10"/>
  <c r="BP50" i="10"/>
  <c r="BM50" i="10"/>
  <c r="S50" i="10"/>
  <c r="CM48" i="10"/>
  <c r="CL48" i="10"/>
  <c r="CI48" i="10"/>
  <c r="CF48" i="10"/>
  <c r="CE48" i="10"/>
  <c r="BZ48" i="10"/>
  <c r="BV48" i="10"/>
  <c r="BP48" i="10"/>
  <c r="BM48" i="10"/>
  <c r="S48" i="10"/>
  <c r="CM46" i="10"/>
  <c r="CL46" i="10"/>
  <c r="CI46" i="10"/>
  <c r="CN46" i="10"/>
  <c r="CF46" i="10"/>
  <c r="CE46" i="10"/>
  <c r="BZ46" i="10"/>
  <c r="BV46" i="10"/>
  <c r="BP46" i="10"/>
  <c r="BM46" i="10"/>
  <c r="S46" i="10"/>
  <c r="CN47" i="10"/>
  <c r="CM47" i="10"/>
  <c r="CL47" i="10"/>
  <c r="CI47" i="10"/>
  <c r="CF47" i="10"/>
  <c r="CE47" i="10"/>
  <c r="BZ47" i="10"/>
  <c r="BV47" i="10"/>
  <c r="BP47" i="10"/>
  <c r="BM47" i="10"/>
  <c r="S47" i="10"/>
  <c r="CM45" i="10"/>
  <c r="CL45" i="10"/>
  <c r="CI45" i="10"/>
  <c r="CN45" i="10"/>
  <c r="CF45" i="10"/>
  <c r="CE45" i="10"/>
  <c r="BZ45" i="10"/>
  <c r="BV45" i="10"/>
  <c r="BP45" i="10"/>
  <c r="BM45" i="10"/>
  <c r="S45" i="10"/>
  <c r="CM44" i="10"/>
  <c r="CL44" i="10"/>
  <c r="CI44" i="10"/>
  <c r="CN44" i="10"/>
  <c r="CF44" i="10"/>
  <c r="CE44" i="10"/>
  <c r="BZ44" i="10"/>
  <c r="BV44" i="10"/>
  <c r="BP44" i="10"/>
  <c r="BM44" i="10"/>
  <c r="S44" i="10"/>
  <c r="CM43" i="10"/>
  <c r="CL43" i="10"/>
  <c r="CI43" i="10"/>
  <c r="CN43" i="10"/>
  <c r="CF43" i="10"/>
  <c r="CE43" i="10"/>
  <c r="BZ43" i="10"/>
  <c r="BV43" i="10"/>
  <c r="BP43" i="10"/>
  <c r="BM43" i="10"/>
  <c r="S43" i="10"/>
  <c r="CN42" i="10"/>
  <c r="CM42" i="10"/>
  <c r="CL42" i="10"/>
  <c r="CI42" i="10"/>
  <c r="CF42" i="10"/>
  <c r="CE42" i="10"/>
  <c r="BZ42" i="10"/>
  <c r="BV42" i="10"/>
  <c r="BP42" i="10"/>
  <c r="BM42" i="10"/>
  <c r="S42" i="10"/>
  <c r="CN41" i="10"/>
  <c r="CM41" i="10"/>
  <c r="CL41" i="10"/>
  <c r="CI41" i="10"/>
  <c r="CF41" i="10"/>
  <c r="CE41" i="10"/>
  <c r="BZ41" i="10"/>
  <c r="BV41" i="10"/>
  <c r="BP41" i="10"/>
  <c r="BM41" i="10"/>
  <c r="CM40" i="10"/>
  <c r="CL40" i="10"/>
  <c r="CI40" i="10"/>
  <c r="CN40" i="10"/>
  <c r="CF40" i="10"/>
  <c r="CE40" i="10"/>
  <c r="BZ40" i="10"/>
  <c r="BV40" i="10"/>
  <c r="BP40" i="10"/>
  <c r="BM40" i="10"/>
  <c r="S40" i="10"/>
  <c r="CM39" i="10"/>
  <c r="CL39" i="10"/>
  <c r="CI39" i="10"/>
  <c r="CF39" i="10"/>
  <c r="CE39" i="10"/>
  <c r="BZ39" i="10"/>
  <c r="BV39" i="10"/>
  <c r="BP39" i="10"/>
  <c r="BM39" i="10"/>
  <c r="S39" i="10"/>
  <c r="CN38" i="10"/>
  <c r="CM38" i="10"/>
  <c r="CL38" i="10"/>
  <c r="CI38" i="10"/>
  <c r="CF38" i="10"/>
  <c r="CE38" i="10"/>
  <c r="BZ38" i="10"/>
  <c r="BV38" i="10"/>
  <c r="BP38" i="10"/>
  <c r="BM38" i="10"/>
  <c r="S38" i="10"/>
  <c r="CN37" i="10"/>
  <c r="CM37" i="10"/>
  <c r="CL37" i="10"/>
  <c r="CI37" i="10"/>
  <c r="CF37" i="10"/>
  <c r="CE37" i="10"/>
  <c r="BZ37" i="10"/>
  <c r="BV37" i="10"/>
  <c r="BP37" i="10"/>
  <c r="BM37" i="10"/>
  <c r="S37" i="10"/>
  <c r="CM36" i="10"/>
  <c r="CL36" i="10"/>
  <c r="CI36" i="10"/>
  <c r="CN36" i="10"/>
  <c r="CF36" i="10"/>
  <c r="CE36" i="10"/>
  <c r="BZ36" i="10"/>
  <c r="BV36" i="10"/>
  <c r="BP36" i="10"/>
  <c r="BM36" i="10"/>
  <c r="S36" i="10"/>
  <c r="CM33" i="10"/>
  <c r="CL33" i="10"/>
  <c r="CI33" i="10"/>
  <c r="CN33" i="10"/>
  <c r="CF33" i="10"/>
  <c r="CE33" i="10"/>
  <c r="BZ33" i="10"/>
  <c r="BV33" i="10"/>
  <c r="BP33" i="10"/>
  <c r="BM33" i="10"/>
  <c r="S33" i="10"/>
  <c r="CM29" i="10"/>
  <c r="CL29" i="10"/>
  <c r="CI29" i="10"/>
  <c r="CN29" i="10"/>
  <c r="CF29" i="10"/>
  <c r="CE29" i="10"/>
  <c r="BZ29" i="10"/>
  <c r="BV29" i="10"/>
  <c r="BP29" i="10"/>
  <c r="BM29" i="10"/>
  <c r="S29" i="10"/>
  <c r="CN32" i="10"/>
  <c r="CM32" i="10"/>
  <c r="CL32" i="10"/>
  <c r="CI32" i="10"/>
  <c r="CF32" i="10"/>
  <c r="CE32" i="10"/>
  <c r="BZ32" i="10"/>
  <c r="BV32" i="10"/>
  <c r="BP32" i="10"/>
  <c r="BM32" i="10"/>
  <c r="S32" i="10"/>
  <c r="CM31" i="10"/>
  <c r="CL31" i="10"/>
  <c r="CI31" i="10"/>
  <c r="CN31" i="10"/>
  <c r="CF31" i="10"/>
  <c r="CE31" i="10"/>
  <c r="BZ31" i="10"/>
  <c r="BV31" i="10"/>
  <c r="BP31" i="10"/>
  <c r="BM31" i="10"/>
  <c r="S31" i="10"/>
  <c r="CM30" i="10"/>
  <c r="CL30" i="10"/>
  <c r="CI30" i="10"/>
  <c r="CN30" i="10"/>
  <c r="CF30" i="10"/>
  <c r="CE30" i="10"/>
  <c r="BZ30" i="10"/>
  <c r="BV30" i="10"/>
  <c r="BP30" i="10"/>
  <c r="BM30" i="10"/>
  <c r="S30" i="10"/>
  <c r="CN28" i="10"/>
  <c r="CM28" i="10"/>
  <c r="CL28" i="10"/>
  <c r="CI28" i="10"/>
  <c r="CF28" i="10"/>
  <c r="CE28" i="10"/>
  <c r="BZ28" i="10"/>
  <c r="BV28" i="10"/>
  <c r="BP28" i="10"/>
  <c r="BM28" i="10"/>
  <c r="S28" i="10"/>
  <c r="CM35" i="10"/>
  <c r="CL35" i="10"/>
  <c r="CI35" i="10"/>
  <c r="CN35" i="10"/>
  <c r="CF35" i="10"/>
  <c r="CE35" i="10"/>
  <c r="BZ35" i="10"/>
  <c r="BV35" i="10"/>
  <c r="BP35" i="10"/>
  <c r="BM35" i="10"/>
  <c r="S35" i="10"/>
  <c r="CM34" i="10"/>
  <c r="CL34" i="10"/>
  <c r="CI34" i="10"/>
  <c r="CN34" i="10"/>
  <c r="CF34" i="10"/>
  <c r="CE34" i="10"/>
  <c r="BZ34" i="10"/>
  <c r="BV34" i="10"/>
  <c r="BP34" i="10"/>
  <c r="BM34" i="10"/>
  <c r="S34" i="10"/>
  <c r="CM27" i="10"/>
  <c r="CL27" i="10"/>
  <c r="CI27" i="10"/>
  <c r="CF27" i="10"/>
  <c r="CE27" i="10"/>
  <c r="BZ27" i="10"/>
  <c r="BV27" i="10"/>
  <c r="BP27" i="10"/>
  <c r="BM27" i="10"/>
  <c r="S27" i="10"/>
  <c r="CM25" i="10"/>
  <c r="CL25" i="10"/>
  <c r="CI25" i="10"/>
  <c r="CN25" i="10"/>
  <c r="CF25" i="10"/>
  <c r="CE25" i="10"/>
  <c r="BZ25" i="10"/>
  <c r="BV25" i="10"/>
  <c r="BP25" i="10"/>
  <c r="BM25" i="10"/>
  <c r="S25" i="10"/>
  <c r="CM26" i="10"/>
  <c r="CL26" i="10"/>
  <c r="CI26" i="10"/>
  <c r="CF26" i="10"/>
  <c r="CE26" i="10"/>
  <c r="BZ26" i="10"/>
  <c r="BV26" i="10"/>
  <c r="BP26" i="10"/>
  <c r="BM26" i="10"/>
  <c r="S26" i="10"/>
  <c r="CM24" i="10"/>
  <c r="CL24" i="10"/>
  <c r="CI24" i="10"/>
  <c r="CN24" i="10"/>
  <c r="CF24" i="10"/>
  <c r="CE24" i="10"/>
  <c r="BZ24" i="10"/>
  <c r="BV24" i="10"/>
  <c r="BP24" i="10"/>
  <c r="BM24" i="10"/>
  <c r="S24" i="10"/>
  <c r="CM23" i="10"/>
  <c r="CL23" i="10"/>
  <c r="CI23" i="10"/>
  <c r="CN23" i="10"/>
  <c r="CF23" i="10"/>
  <c r="CE23" i="10"/>
  <c r="BZ23" i="10"/>
  <c r="BV23" i="10"/>
  <c r="BP23" i="10"/>
  <c r="BM23" i="10"/>
  <c r="S23" i="10"/>
  <c r="CM20" i="10"/>
  <c r="CL20" i="10"/>
  <c r="CI20" i="10"/>
  <c r="CN20" i="10"/>
  <c r="CF20" i="10"/>
  <c r="CE20" i="10"/>
  <c r="BZ20" i="10"/>
  <c r="BV20" i="10"/>
  <c r="BP20" i="10"/>
  <c r="BM20" i="10"/>
  <c r="S20" i="10"/>
  <c r="CM21" i="10"/>
  <c r="CL21" i="10"/>
  <c r="CN21" i="10"/>
  <c r="CI21" i="10"/>
  <c r="CF21" i="10"/>
  <c r="CE21" i="10"/>
  <c r="BZ21" i="10"/>
  <c r="BV21" i="10"/>
  <c r="BP21" i="10"/>
  <c r="BM21" i="10"/>
  <c r="S21" i="10"/>
  <c r="CM22" i="10"/>
  <c r="CL22" i="10"/>
  <c r="CI22" i="10"/>
  <c r="CN22" i="10"/>
  <c r="CF22" i="10"/>
  <c r="CE22" i="10"/>
  <c r="BZ22" i="10"/>
  <c r="BV22" i="10"/>
  <c r="BP22" i="10"/>
  <c r="BM22" i="10"/>
  <c r="S22" i="10"/>
  <c r="CM19" i="10"/>
  <c r="CL19" i="10"/>
  <c r="CI19" i="10"/>
  <c r="CN19" i="10"/>
  <c r="CF19" i="10"/>
  <c r="CE19" i="10"/>
  <c r="BZ19" i="10"/>
  <c r="BV19" i="10"/>
  <c r="BP19" i="10"/>
  <c r="BM19" i="10"/>
  <c r="S19" i="10"/>
  <c r="CM18" i="10"/>
  <c r="CL18" i="10"/>
  <c r="CN18" i="10"/>
  <c r="CI18" i="10"/>
  <c r="CF18" i="10"/>
  <c r="CE18" i="10"/>
  <c r="BZ18" i="10"/>
  <c r="BV18" i="10"/>
  <c r="BP18" i="10"/>
  <c r="BM18" i="10"/>
  <c r="S18" i="10"/>
  <c r="CM17" i="10"/>
  <c r="CL17" i="10"/>
  <c r="CI17" i="10"/>
  <c r="CF17" i="10"/>
  <c r="CE17" i="10"/>
  <c r="BZ17" i="10"/>
  <c r="BV17" i="10"/>
  <c r="BP17" i="10"/>
  <c r="BM17" i="10"/>
  <c r="S17" i="10"/>
  <c r="CM15" i="10"/>
  <c r="CL15" i="10"/>
  <c r="CI15" i="10"/>
  <c r="CN15" i="10"/>
  <c r="CF15" i="10"/>
  <c r="CE15" i="10"/>
  <c r="BZ15" i="10"/>
  <c r="BV15" i="10"/>
  <c r="BP15" i="10"/>
  <c r="BM15" i="10"/>
  <c r="S15" i="10"/>
  <c r="CM14" i="10"/>
  <c r="CL14" i="10"/>
  <c r="CI14" i="10"/>
  <c r="CN14" i="10"/>
  <c r="CF14" i="10"/>
  <c r="CE14" i="10"/>
  <c r="BZ14" i="10"/>
  <c r="BV14" i="10"/>
  <c r="BP14" i="10"/>
  <c r="BM14" i="10"/>
  <c r="S14" i="10"/>
  <c r="CM13" i="10"/>
  <c r="CL13" i="10"/>
  <c r="CI13" i="10"/>
  <c r="CN13" i="10"/>
  <c r="CF13" i="10"/>
  <c r="CE13" i="10"/>
  <c r="BZ13" i="10"/>
  <c r="BV13" i="10"/>
  <c r="BP13" i="10"/>
  <c r="BM13" i="10"/>
  <c r="S13" i="10"/>
  <c r="CM16" i="10"/>
  <c r="CL16" i="10"/>
  <c r="CI16" i="10"/>
  <c r="CF16" i="10"/>
  <c r="CE16" i="10"/>
  <c r="BZ16" i="10"/>
  <c r="BV16" i="10"/>
  <c r="BP16" i="10"/>
  <c r="BM16" i="10"/>
  <c r="S16" i="10"/>
  <c r="CM12" i="10"/>
  <c r="CL12" i="10"/>
  <c r="CI12" i="10"/>
  <c r="CN12" i="10"/>
  <c r="CF12" i="10"/>
  <c r="CE12" i="10"/>
  <c r="BZ12" i="10"/>
  <c r="BP12" i="10"/>
  <c r="BM12" i="10"/>
  <c r="S12" i="10"/>
  <c r="CM11" i="10"/>
  <c r="CL11" i="10"/>
  <c r="CI11" i="10"/>
  <c r="CF11" i="10"/>
  <c r="CE11" i="10"/>
  <c r="BZ11" i="10"/>
  <c r="BV11" i="10"/>
  <c r="BP11" i="10"/>
  <c r="BM11" i="10"/>
  <c r="S11" i="10"/>
  <c r="CN10" i="10"/>
  <c r="CM10" i="10"/>
  <c r="CL10" i="10"/>
  <c r="CI10" i="10"/>
  <c r="CF10" i="10"/>
  <c r="CE10" i="10"/>
  <c r="BZ10" i="10"/>
  <c r="BV10" i="10"/>
  <c r="BP10" i="10"/>
  <c r="BM10" i="10"/>
  <c r="S10" i="10"/>
  <c r="CM9" i="10"/>
  <c r="CL9" i="10"/>
  <c r="CI9" i="10"/>
  <c r="CN9" i="10"/>
  <c r="CF9" i="10"/>
  <c r="CE9" i="10"/>
  <c r="BZ9" i="10"/>
  <c r="BV9" i="10"/>
  <c r="BP9" i="10"/>
  <c r="BM9" i="10"/>
  <c r="S9" i="10"/>
  <c r="CM8" i="10"/>
  <c r="CL8" i="10"/>
  <c r="CI8" i="10"/>
  <c r="CN8" i="10"/>
  <c r="CF8" i="10"/>
  <c r="CE8" i="10"/>
  <c r="BZ8" i="10"/>
  <c r="BV8" i="10"/>
  <c r="BP8" i="10"/>
  <c r="BM8" i="10"/>
  <c r="S8" i="10"/>
  <c r="CN7" i="10"/>
  <c r="CM7" i="10"/>
  <c r="CL7" i="10"/>
  <c r="CI7" i="10"/>
  <c r="CF7" i="10"/>
  <c r="CE7" i="10"/>
  <c r="BZ7" i="10"/>
  <c r="BV7" i="10"/>
  <c r="BP7" i="10"/>
  <c r="BM7" i="10"/>
  <c r="S7" i="10"/>
  <c r="CM6" i="10"/>
  <c r="CL6" i="10"/>
  <c r="CI6" i="10"/>
  <c r="CN6" i="10"/>
  <c r="CF6" i="10"/>
  <c r="CE6" i="10"/>
  <c r="BZ6" i="10"/>
  <c r="BV6" i="10"/>
  <c r="BP6" i="10"/>
  <c r="BM6" i="10"/>
  <c r="S6" i="10"/>
  <c r="CM4" i="10"/>
  <c r="CL4" i="10"/>
  <c r="CI4" i="10"/>
  <c r="CN4" i="10"/>
  <c r="CF4" i="10"/>
  <c r="CE4" i="10"/>
  <c r="BZ4" i="10"/>
  <c r="BV4" i="10"/>
  <c r="BP4" i="10"/>
  <c r="BM4" i="10"/>
  <c r="S4" i="10"/>
  <c r="CM5" i="10"/>
  <c r="CL5" i="10"/>
  <c r="CI5" i="10"/>
  <c r="CF5" i="10"/>
  <c r="CE5" i="10"/>
  <c r="BZ5" i="10"/>
  <c r="BV5" i="10"/>
  <c r="BP5" i="10"/>
  <c r="BM5" i="10"/>
  <c r="S5" i="10"/>
  <c r="CM2" i="10"/>
  <c r="CL2" i="10"/>
  <c r="CI2" i="10"/>
  <c r="CN2" i="10"/>
  <c r="CF2" i="10"/>
  <c r="CE2" i="10"/>
  <c r="BZ2" i="10"/>
  <c r="BV2" i="10"/>
  <c r="BP2" i="10"/>
  <c r="BM2" i="10"/>
  <c r="S2" i="10"/>
  <c r="CM3" i="10"/>
  <c r="CL3" i="10"/>
  <c r="CI3" i="10"/>
  <c r="CF3" i="10"/>
  <c r="CE3" i="10"/>
  <c r="BZ3" i="10"/>
  <c r="BV3" i="10"/>
  <c r="BP3" i="10"/>
  <c r="BM3" i="10"/>
  <c r="S3" i="10"/>
  <c r="E2" i="5"/>
  <c r="D5" i="6"/>
  <c r="AI8" i="3"/>
  <c r="G28" i="6" s="1"/>
  <c r="E3" i="8"/>
  <c r="AG216" i="2"/>
  <c r="AG203" i="2"/>
  <c r="L3" i="7"/>
  <c r="M3" i="7" s="1"/>
  <c r="L4" i="7"/>
  <c r="N4" i="7" s="1"/>
  <c r="L5" i="7"/>
  <c r="N5" i="7" s="1"/>
  <c r="L6" i="7"/>
  <c r="M6" i="7" s="1"/>
  <c r="L7" i="7"/>
  <c r="N7" i="7" s="1"/>
  <c r="L8" i="7"/>
  <c r="N8" i="7" s="1"/>
  <c r="L9" i="7"/>
  <c r="N9" i="7" s="1"/>
  <c r="L10" i="7"/>
  <c r="M10" i="7" s="1"/>
  <c r="L11" i="7"/>
  <c r="M11" i="7" s="1"/>
  <c r="L12" i="7"/>
  <c r="N12" i="7" s="1"/>
  <c r="L13" i="7"/>
  <c r="N13" i="7" s="1"/>
  <c r="L14" i="7"/>
  <c r="N14" i="7" s="1"/>
  <c r="L15" i="7"/>
  <c r="M15" i="7" s="1"/>
  <c r="L16" i="7"/>
  <c r="N16" i="7" s="1"/>
  <c r="L17" i="7"/>
  <c r="N17" i="7" s="1"/>
  <c r="L18" i="7"/>
  <c r="L19" i="7"/>
  <c r="N19" i="7" s="1"/>
  <c r="L20" i="7"/>
  <c r="M20" i="7" s="1"/>
  <c r="L21" i="7"/>
  <c r="N21" i="7" s="1"/>
  <c r="L22" i="7"/>
  <c r="M22" i="7" s="1"/>
  <c r="L23" i="7"/>
  <c r="M23" i="7" s="1"/>
  <c r="L24" i="7"/>
  <c r="N24" i="7" s="1"/>
  <c r="L25" i="7"/>
  <c r="M25" i="7" s="1"/>
  <c r="L26" i="7"/>
  <c r="N26" i="7" s="1"/>
  <c r="L27" i="7"/>
  <c r="N27" i="7" s="1"/>
  <c r="L28" i="7"/>
  <c r="N28" i="7" s="1"/>
  <c r="L29" i="7"/>
  <c r="M29" i="7" s="1"/>
  <c r="L30" i="7"/>
  <c r="N30" i="7" s="1"/>
  <c r="L31" i="7"/>
  <c r="N31" i="7" s="1"/>
  <c r="L32" i="7"/>
  <c r="M32" i="7" s="1"/>
  <c r="L33" i="7"/>
  <c r="N33" i="7" s="1"/>
  <c r="L34" i="7"/>
  <c r="M34" i="7" s="1"/>
  <c r="L35" i="7"/>
  <c r="M35" i="7" s="1"/>
  <c r="L36" i="7"/>
  <c r="M36" i="7" s="1"/>
  <c r="L37" i="7"/>
  <c r="M37" i="7" s="1"/>
  <c r="L38" i="7"/>
  <c r="N38" i="7" s="1"/>
  <c r="L39" i="7"/>
  <c r="N39" i="7" s="1"/>
  <c r="L40" i="7"/>
  <c r="N40" i="7" s="1"/>
  <c r="L41" i="7"/>
  <c r="M41" i="7" s="1"/>
  <c r="L42" i="7"/>
  <c r="M42" i="7" s="1"/>
  <c r="L43" i="7"/>
  <c r="M43" i="7" s="1"/>
  <c r="L44" i="7"/>
  <c r="L45" i="7"/>
  <c r="N45" i="7" s="1"/>
  <c r="L46" i="7"/>
  <c r="N46" i="7" s="1"/>
  <c r="L47" i="7"/>
  <c r="M47" i="7" s="1"/>
  <c r="L48" i="7"/>
  <c r="N48" i="7" s="1"/>
  <c r="L49" i="7"/>
  <c r="N49" i="7" s="1"/>
  <c r="L50" i="7"/>
  <c r="M50" i="7" s="1"/>
  <c r="L51" i="7"/>
  <c r="N51" i="7" s="1"/>
  <c r="L2" i="7"/>
  <c r="N2" i="7" s="1"/>
  <c r="P3" i="6"/>
  <c r="R3" i="6" s="1"/>
  <c r="P4" i="6"/>
  <c r="Q4" i="6" s="1"/>
  <c r="P5" i="6"/>
  <c r="Q5" i="6" s="1"/>
  <c r="P6" i="6"/>
  <c r="Q6" i="6" s="1"/>
  <c r="P7" i="6"/>
  <c r="R7" i="6" s="1"/>
  <c r="P8" i="6"/>
  <c r="Q8" i="6" s="1"/>
  <c r="P9" i="6"/>
  <c r="R9" i="6" s="1"/>
  <c r="P10" i="6"/>
  <c r="R10" i="6" s="1"/>
  <c r="P11" i="6"/>
  <c r="R11" i="6" s="1"/>
  <c r="P12" i="6"/>
  <c r="R12" i="6" s="1"/>
  <c r="P13" i="6"/>
  <c r="Q13" i="6" s="1"/>
  <c r="P14" i="6"/>
  <c r="Q14" i="6" s="1"/>
  <c r="P15" i="6"/>
  <c r="R15" i="6" s="1"/>
  <c r="P16" i="6"/>
  <c r="Q16" i="6" s="1"/>
  <c r="P17" i="6"/>
  <c r="R17" i="6" s="1"/>
  <c r="P18" i="6"/>
  <c r="Q18" i="6" s="1"/>
  <c r="P19" i="6"/>
  <c r="Q19" i="6" s="1"/>
  <c r="P20" i="6"/>
  <c r="Q20" i="6" s="1"/>
  <c r="P21" i="6"/>
  <c r="Q21" i="6" s="1"/>
  <c r="P22" i="6"/>
  <c r="Q22" i="6" s="1"/>
  <c r="P23" i="6"/>
  <c r="R23" i="6" s="1"/>
  <c r="P24" i="6"/>
  <c r="R24" i="6" s="1"/>
  <c r="P25" i="6"/>
  <c r="R25" i="6" s="1"/>
  <c r="P26" i="6"/>
  <c r="Q26" i="6" s="1"/>
  <c r="P27" i="6"/>
  <c r="Q27" i="6" s="1"/>
  <c r="P28" i="6"/>
  <c r="Q28" i="6" s="1"/>
  <c r="P29" i="6"/>
  <c r="Q29" i="6" s="1"/>
  <c r="P30" i="6"/>
  <c r="Q30" i="6" s="1"/>
  <c r="P31" i="6"/>
  <c r="R31" i="6" s="1"/>
  <c r="P32" i="6"/>
  <c r="Q32" i="6" s="1"/>
  <c r="P33" i="6"/>
  <c r="Q33" i="6" s="1"/>
  <c r="P34" i="6"/>
  <c r="R34" i="6" s="1"/>
  <c r="P35" i="6"/>
  <c r="R35" i="6" s="1"/>
  <c r="P36" i="6"/>
  <c r="Q36" i="6" s="1"/>
  <c r="P37" i="6"/>
  <c r="R37" i="6" s="1"/>
  <c r="P38" i="6"/>
  <c r="Q38" i="6" s="1"/>
  <c r="P39" i="6"/>
  <c r="Q39" i="6" s="1"/>
  <c r="P40" i="6"/>
  <c r="Q40" i="6" s="1"/>
  <c r="P41" i="6"/>
  <c r="R41" i="6" s="1"/>
  <c r="P42" i="6"/>
  <c r="Q42" i="6" s="1"/>
  <c r="P43" i="6"/>
  <c r="R43" i="6" s="1"/>
  <c r="P44" i="6"/>
  <c r="P45" i="6"/>
  <c r="Q45" i="6" s="1"/>
  <c r="P46" i="6"/>
  <c r="Q46" i="6" s="1"/>
  <c r="P47" i="6"/>
  <c r="Q47" i="6" s="1"/>
  <c r="P48" i="6"/>
  <c r="R48" i="6" s="1"/>
  <c r="P49" i="6"/>
  <c r="R49" i="6" s="1"/>
  <c r="P50" i="6"/>
  <c r="R50" i="6" s="1"/>
  <c r="P51" i="6"/>
  <c r="R51" i="6" s="1"/>
  <c r="P2" i="6"/>
  <c r="R2" i="6" s="1"/>
  <c r="Y172" i="2"/>
  <c r="D3" i="6"/>
  <c r="D4" i="6"/>
  <c r="D6" i="6"/>
  <c r="D7" i="6"/>
  <c r="D8" i="6"/>
  <c r="D9" i="6"/>
  <c r="D10" i="6"/>
  <c r="D11" i="6"/>
  <c r="D12" i="6"/>
  <c r="D13" i="6"/>
  <c r="D14" i="6"/>
  <c r="D15"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AO151" i="2" s="1"/>
  <c r="D45" i="6"/>
  <c r="D46" i="6"/>
  <c r="D47" i="6"/>
  <c r="D48" i="6"/>
  <c r="D49" i="6"/>
  <c r="D50" i="6"/>
  <c r="D51" i="6"/>
  <c r="D2" i="6"/>
  <c r="C2" i="6"/>
  <c r="C3" i="6"/>
  <c r="C4" i="6"/>
  <c r="C5" i="6"/>
  <c r="C6" i="6"/>
  <c r="C7" i="6"/>
  <c r="C8" i="6"/>
  <c r="C9" i="6"/>
  <c r="C10" i="6"/>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49" i="6"/>
  <c r="C50" i="6"/>
  <c r="C51" i="6"/>
  <c r="Y214" i="2"/>
  <c r="Y201" i="2"/>
  <c r="Y162" i="2"/>
  <c r="Y145" i="2"/>
  <c r="Y114" i="2"/>
  <c r="Y101" i="2"/>
  <c r="Y68" i="2"/>
  <c r="Y51" i="2"/>
  <c r="U3" i="5"/>
  <c r="W3" i="5" s="1"/>
  <c r="U4" i="5"/>
  <c r="V4" i="5" s="1"/>
  <c r="U5" i="5"/>
  <c r="V5" i="5" s="1"/>
  <c r="U6" i="5"/>
  <c r="W6" i="5" s="1"/>
  <c r="U7" i="5"/>
  <c r="V7" i="5" s="1"/>
  <c r="U8" i="5"/>
  <c r="V8" i="5" s="1"/>
  <c r="U9" i="5"/>
  <c r="W9" i="5" s="1"/>
  <c r="U10" i="5"/>
  <c r="V10" i="5" s="1"/>
  <c r="U11" i="5"/>
  <c r="W11" i="5" s="1"/>
  <c r="U12" i="5"/>
  <c r="V12" i="5" s="1"/>
  <c r="U13" i="5"/>
  <c r="W13" i="5" s="1"/>
  <c r="U14" i="5"/>
  <c r="V14" i="5" s="1"/>
  <c r="U15" i="5"/>
  <c r="V15" i="5" s="1"/>
  <c r="U16" i="5"/>
  <c r="W16" i="5" s="1"/>
  <c r="U17" i="5"/>
  <c r="W17" i="5" s="1"/>
  <c r="U18" i="5"/>
  <c r="V18" i="5" s="1"/>
  <c r="U19" i="5"/>
  <c r="V19" i="5" s="1"/>
  <c r="U20" i="5"/>
  <c r="W20" i="5" s="1"/>
  <c r="U21" i="5"/>
  <c r="V21" i="5" s="1"/>
  <c r="U22" i="5"/>
  <c r="W22" i="5" s="1"/>
  <c r="U23" i="5"/>
  <c r="W23" i="5" s="1"/>
  <c r="U24" i="5"/>
  <c r="W24" i="5" s="1"/>
  <c r="U25" i="5"/>
  <c r="V25" i="5" s="1"/>
  <c r="U26" i="5"/>
  <c r="V26" i="5" s="1"/>
  <c r="U27" i="5"/>
  <c r="V27" i="5" s="1"/>
  <c r="U28" i="5"/>
  <c r="V28" i="5" s="1"/>
  <c r="U29" i="5"/>
  <c r="V29" i="5" s="1"/>
  <c r="U30" i="5"/>
  <c r="W30" i="5" s="1"/>
  <c r="U31" i="5"/>
  <c r="V31" i="5" s="1"/>
  <c r="U32" i="5"/>
  <c r="W32" i="5" s="1"/>
  <c r="U33" i="5"/>
  <c r="W33" i="5" s="1"/>
  <c r="U34" i="5"/>
  <c r="V34" i="5" s="1"/>
  <c r="U35" i="5"/>
  <c r="W35" i="5" s="1"/>
  <c r="U36" i="5"/>
  <c r="W36" i="5" s="1"/>
  <c r="U37" i="5"/>
  <c r="V37" i="5" s="1"/>
  <c r="U38" i="5"/>
  <c r="W38" i="5" s="1"/>
  <c r="U39" i="5"/>
  <c r="W39" i="5" s="1"/>
  <c r="U40" i="5"/>
  <c r="V40" i="5" s="1"/>
  <c r="U41" i="5"/>
  <c r="W41" i="5" s="1"/>
  <c r="U42" i="5"/>
  <c r="W42" i="5" s="1"/>
  <c r="U43" i="5"/>
  <c r="V43" i="5" s="1"/>
  <c r="U44" i="5"/>
  <c r="U45" i="5"/>
  <c r="W45" i="5" s="1"/>
  <c r="U46" i="5"/>
  <c r="V46" i="5" s="1"/>
  <c r="U47" i="5"/>
  <c r="V47" i="5" s="1"/>
  <c r="U48" i="5"/>
  <c r="W48" i="5" s="1"/>
  <c r="U49" i="5"/>
  <c r="V49" i="5" s="1"/>
  <c r="U50" i="5"/>
  <c r="W50" i="5" s="1"/>
  <c r="U51" i="5"/>
  <c r="W51" i="5" s="1"/>
  <c r="U2" i="5"/>
  <c r="V2" i="5" s="1"/>
  <c r="K51" i="5"/>
  <c r="I51" i="5"/>
  <c r="H51" i="5"/>
  <c r="G51" i="5"/>
  <c r="F51" i="5"/>
  <c r="E51" i="5"/>
  <c r="D51" i="5"/>
  <c r="C51" i="5"/>
  <c r="K50" i="5"/>
  <c r="I50" i="5"/>
  <c r="H50" i="5"/>
  <c r="G50" i="5"/>
  <c r="F50" i="5"/>
  <c r="E50" i="5"/>
  <c r="D50" i="5"/>
  <c r="C50" i="5"/>
  <c r="K49" i="5"/>
  <c r="I49" i="5"/>
  <c r="H49" i="5"/>
  <c r="G49" i="5"/>
  <c r="F49" i="5"/>
  <c r="E49" i="5"/>
  <c r="D49" i="5"/>
  <c r="C49" i="5"/>
  <c r="K48" i="5"/>
  <c r="I48" i="5"/>
  <c r="H48" i="5"/>
  <c r="G48" i="5"/>
  <c r="F48" i="5"/>
  <c r="E48" i="5"/>
  <c r="D48" i="5"/>
  <c r="C48" i="5"/>
  <c r="K47" i="5"/>
  <c r="I47" i="5"/>
  <c r="H47" i="5"/>
  <c r="G47" i="5"/>
  <c r="F47" i="5"/>
  <c r="E47" i="5"/>
  <c r="D47" i="5"/>
  <c r="C47" i="5"/>
  <c r="K46" i="5"/>
  <c r="I46" i="5"/>
  <c r="H46" i="5"/>
  <c r="G46" i="5"/>
  <c r="F46" i="5"/>
  <c r="E46" i="5"/>
  <c r="D46" i="5"/>
  <c r="C46" i="5"/>
  <c r="K45" i="5"/>
  <c r="I45" i="5"/>
  <c r="H45" i="5"/>
  <c r="G45" i="5"/>
  <c r="F45" i="5"/>
  <c r="E45" i="5"/>
  <c r="D45" i="5"/>
  <c r="C45" i="5"/>
  <c r="K44" i="5"/>
  <c r="I44" i="5"/>
  <c r="H44" i="5"/>
  <c r="G44" i="5"/>
  <c r="F44" i="5"/>
  <c r="E44" i="5"/>
  <c r="D44" i="5"/>
  <c r="C44" i="5"/>
  <c r="K43" i="5"/>
  <c r="I43" i="5"/>
  <c r="H43" i="5"/>
  <c r="G43" i="5"/>
  <c r="F43" i="5"/>
  <c r="E43" i="5"/>
  <c r="D43" i="5"/>
  <c r="C43" i="5"/>
  <c r="K42" i="5"/>
  <c r="I42" i="5"/>
  <c r="H42" i="5"/>
  <c r="G42" i="5"/>
  <c r="F42" i="5"/>
  <c r="E42" i="5"/>
  <c r="D42" i="5"/>
  <c r="C42" i="5"/>
  <c r="K41" i="5"/>
  <c r="I41" i="5"/>
  <c r="H41" i="5"/>
  <c r="G41" i="5"/>
  <c r="F41" i="5"/>
  <c r="E41" i="5"/>
  <c r="D41" i="5"/>
  <c r="C41" i="5"/>
  <c r="K40" i="5"/>
  <c r="I40" i="5"/>
  <c r="H40" i="5"/>
  <c r="G40" i="5"/>
  <c r="F40" i="5"/>
  <c r="E40" i="5"/>
  <c r="D40" i="5"/>
  <c r="C40" i="5"/>
  <c r="K39" i="5"/>
  <c r="I39" i="5"/>
  <c r="H39" i="5"/>
  <c r="G39" i="5"/>
  <c r="F39" i="5"/>
  <c r="E39" i="5"/>
  <c r="D39" i="5"/>
  <c r="C39" i="5"/>
  <c r="K38" i="5"/>
  <c r="I38" i="5"/>
  <c r="H38" i="5"/>
  <c r="G38" i="5"/>
  <c r="F38" i="5"/>
  <c r="E38" i="5"/>
  <c r="D38" i="5"/>
  <c r="C38" i="5"/>
  <c r="K37" i="5"/>
  <c r="I37" i="5"/>
  <c r="H37" i="5"/>
  <c r="G37" i="5"/>
  <c r="F37" i="5"/>
  <c r="E37" i="5"/>
  <c r="D37" i="5"/>
  <c r="C37" i="5"/>
  <c r="K36" i="5"/>
  <c r="I36" i="5"/>
  <c r="H36" i="5"/>
  <c r="G36" i="5"/>
  <c r="F36" i="5"/>
  <c r="E36" i="5"/>
  <c r="D36" i="5"/>
  <c r="C36" i="5"/>
  <c r="K35" i="5"/>
  <c r="I35" i="5"/>
  <c r="H35" i="5"/>
  <c r="G35" i="5"/>
  <c r="F35" i="5"/>
  <c r="E35" i="5"/>
  <c r="D35" i="5"/>
  <c r="C35" i="5"/>
  <c r="K34" i="5"/>
  <c r="I34" i="5"/>
  <c r="H34" i="5"/>
  <c r="G34" i="5"/>
  <c r="F34" i="5"/>
  <c r="E34" i="5"/>
  <c r="D34" i="5"/>
  <c r="C34" i="5"/>
  <c r="K33" i="5"/>
  <c r="I33" i="5"/>
  <c r="H33" i="5"/>
  <c r="G33" i="5"/>
  <c r="F33" i="5"/>
  <c r="E33" i="5"/>
  <c r="D33" i="5"/>
  <c r="C33" i="5"/>
  <c r="K32" i="5"/>
  <c r="I32" i="5"/>
  <c r="H32" i="5"/>
  <c r="G32" i="5"/>
  <c r="F32" i="5"/>
  <c r="E32" i="5"/>
  <c r="D32" i="5"/>
  <c r="C32" i="5"/>
  <c r="K31" i="5"/>
  <c r="I31" i="5"/>
  <c r="H31" i="5"/>
  <c r="G31" i="5"/>
  <c r="F31" i="5"/>
  <c r="E31" i="5"/>
  <c r="D31" i="5"/>
  <c r="C31" i="5"/>
  <c r="K30" i="5"/>
  <c r="I30" i="5"/>
  <c r="H30" i="5"/>
  <c r="G30" i="5"/>
  <c r="F30" i="5"/>
  <c r="E30" i="5"/>
  <c r="D30" i="5"/>
  <c r="C30" i="5"/>
  <c r="K29" i="5"/>
  <c r="I29" i="5"/>
  <c r="H29" i="5"/>
  <c r="G29" i="5"/>
  <c r="F29" i="5"/>
  <c r="E29" i="5"/>
  <c r="D29" i="5"/>
  <c r="C29" i="5"/>
  <c r="K28" i="5"/>
  <c r="I28" i="5"/>
  <c r="H28" i="5"/>
  <c r="G28" i="5"/>
  <c r="F28" i="5"/>
  <c r="E28" i="5"/>
  <c r="D28" i="5"/>
  <c r="C28" i="5"/>
  <c r="K27" i="5"/>
  <c r="I27" i="5"/>
  <c r="H27" i="5"/>
  <c r="G27" i="5"/>
  <c r="F27" i="5"/>
  <c r="E27" i="5"/>
  <c r="D27" i="5"/>
  <c r="C27" i="5"/>
  <c r="K26" i="5"/>
  <c r="I26" i="5"/>
  <c r="H26" i="5"/>
  <c r="G26" i="5"/>
  <c r="F26" i="5"/>
  <c r="E26" i="5"/>
  <c r="D26" i="5"/>
  <c r="C26" i="5"/>
  <c r="K25" i="5"/>
  <c r="I25" i="5"/>
  <c r="H25" i="5"/>
  <c r="G25" i="5"/>
  <c r="F25" i="5"/>
  <c r="E25" i="5"/>
  <c r="D25" i="5"/>
  <c r="C25" i="5"/>
  <c r="K24" i="5"/>
  <c r="I24" i="5"/>
  <c r="H24" i="5"/>
  <c r="G24" i="5"/>
  <c r="F24" i="5"/>
  <c r="E24" i="5"/>
  <c r="D24" i="5"/>
  <c r="C24" i="5"/>
  <c r="K23" i="5"/>
  <c r="I23" i="5"/>
  <c r="H23" i="5"/>
  <c r="G23" i="5"/>
  <c r="F23" i="5"/>
  <c r="E23" i="5"/>
  <c r="D23" i="5"/>
  <c r="C23" i="5"/>
  <c r="K22" i="5"/>
  <c r="I22" i="5"/>
  <c r="H22" i="5"/>
  <c r="G22" i="5"/>
  <c r="F22" i="5"/>
  <c r="E22" i="5"/>
  <c r="D22" i="5"/>
  <c r="C22" i="5"/>
  <c r="K21" i="5"/>
  <c r="I21" i="5"/>
  <c r="H21" i="5"/>
  <c r="G21" i="5"/>
  <c r="F21" i="5"/>
  <c r="E21" i="5"/>
  <c r="D21" i="5"/>
  <c r="C21" i="5"/>
  <c r="K20" i="5"/>
  <c r="I20" i="5"/>
  <c r="H20" i="5"/>
  <c r="G20" i="5"/>
  <c r="F20" i="5"/>
  <c r="E20" i="5"/>
  <c r="D20" i="5"/>
  <c r="C20" i="5"/>
  <c r="K19" i="5"/>
  <c r="I19" i="5"/>
  <c r="H19" i="5"/>
  <c r="G19" i="5"/>
  <c r="F19" i="5"/>
  <c r="E19" i="5"/>
  <c r="D19" i="5"/>
  <c r="C19" i="5"/>
  <c r="K18" i="5"/>
  <c r="I18" i="5"/>
  <c r="H18" i="5"/>
  <c r="G18" i="5"/>
  <c r="F18" i="5"/>
  <c r="E18" i="5"/>
  <c r="D18" i="5"/>
  <c r="C18" i="5"/>
  <c r="K17" i="5"/>
  <c r="I17" i="5"/>
  <c r="H17" i="5"/>
  <c r="G17" i="5"/>
  <c r="F17" i="5"/>
  <c r="E17" i="5"/>
  <c r="D17" i="5"/>
  <c r="C17" i="5"/>
  <c r="K16" i="5"/>
  <c r="I16" i="5"/>
  <c r="H16" i="5"/>
  <c r="G16" i="5"/>
  <c r="F16" i="5"/>
  <c r="E16" i="5"/>
  <c r="D16" i="5"/>
  <c r="C16" i="5"/>
  <c r="K15" i="5"/>
  <c r="I15" i="5"/>
  <c r="H15" i="5"/>
  <c r="G15" i="5"/>
  <c r="F15" i="5"/>
  <c r="E15" i="5"/>
  <c r="D15" i="5"/>
  <c r="C15" i="5"/>
  <c r="K14" i="5"/>
  <c r="I14" i="5"/>
  <c r="H14" i="5"/>
  <c r="G14" i="5"/>
  <c r="F14" i="5"/>
  <c r="E14" i="5"/>
  <c r="D14" i="5"/>
  <c r="C14" i="5"/>
  <c r="K13" i="5"/>
  <c r="I13" i="5"/>
  <c r="H13" i="5"/>
  <c r="G13" i="5"/>
  <c r="F13" i="5"/>
  <c r="E13" i="5"/>
  <c r="D13" i="5"/>
  <c r="C13" i="5"/>
  <c r="K12" i="5"/>
  <c r="I12" i="5"/>
  <c r="H12" i="5"/>
  <c r="G12" i="5"/>
  <c r="F12" i="5"/>
  <c r="E12" i="5"/>
  <c r="D12" i="5"/>
  <c r="C12" i="5"/>
  <c r="K11" i="5"/>
  <c r="I11" i="5"/>
  <c r="H11" i="5"/>
  <c r="G11" i="5"/>
  <c r="F11" i="5"/>
  <c r="E11" i="5"/>
  <c r="D11" i="5"/>
  <c r="C11" i="5"/>
  <c r="K10" i="5"/>
  <c r="I10" i="5"/>
  <c r="H10" i="5"/>
  <c r="G10" i="5"/>
  <c r="F10" i="5"/>
  <c r="E10" i="5"/>
  <c r="D10" i="5"/>
  <c r="C10" i="5"/>
  <c r="K9" i="5"/>
  <c r="I9" i="5"/>
  <c r="H9" i="5"/>
  <c r="G9" i="5"/>
  <c r="F9" i="5"/>
  <c r="E9" i="5"/>
  <c r="D9" i="5"/>
  <c r="C9" i="5"/>
  <c r="K8" i="5"/>
  <c r="I8" i="5"/>
  <c r="H8" i="5"/>
  <c r="G8" i="5"/>
  <c r="F8" i="5"/>
  <c r="E8" i="5"/>
  <c r="D8" i="5"/>
  <c r="C8" i="5"/>
  <c r="K7" i="5"/>
  <c r="I7" i="5"/>
  <c r="H7" i="5"/>
  <c r="G7" i="5"/>
  <c r="F7" i="5"/>
  <c r="E7" i="5"/>
  <c r="D7" i="5"/>
  <c r="C7" i="5"/>
  <c r="K6" i="5"/>
  <c r="I6" i="5"/>
  <c r="H6" i="5"/>
  <c r="G6" i="5"/>
  <c r="F6" i="5"/>
  <c r="E6" i="5"/>
  <c r="D6" i="5"/>
  <c r="C6" i="5"/>
  <c r="K5" i="5"/>
  <c r="I5" i="5"/>
  <c r="H5" i="5"/>
  <c r="G5" i="5"/>
  <c r="F5" i="5"/>
  <c r="E5" i="5"/>
  <c r="D5" i="5"/>
  <c r="C5" i="5"/>
  <c r="K4" i="5"/>
  <c r="I4" i="5"/>
  <c r="H4" i="5"/>
  <c r="G4" i="5"/>
  <c r="F4" i="5"/>
  <c r="E4" i="5"/>
  <c r="D4" i="5"/>
  <c r="C4" i="5"/>
  <c r="K3" i="5"/>
  <c r="I3" i="5"/>
  <c r="H3" i="5"/>
  <c r="G3" i="5"/>
  <c r="F3" i="5"/>
  <c r="E3" i="5"/>
  <c r="D3" i="5"/>
  <c r="C3" i="5"/>
  <c r="K2" i="5"/>
  <c r="I2" i="5"/>
  <c r="H2" i="5"/>
  <c r="G2" i="5"/>
  <c r="F2" i="5"/>
  <c r="D2" i="5"/>
  <c r="C2" i="5"/>
  <c r="O28" i="4"/>
  <c r="P28" i="4" s="1"/>
  <c r="O29" i="4"/>
  <c r="P29" i="4" s="1"/>
  <c r="O30" i="4"/>
  <c r="Q30" i="4" s="1"/>
  <c r="O31" i="4"/>
  <c r="P31" i="4" s="1"/>
  <c r="O32" i="4"/>
  <c r="Q32" i="4" s="1"/>
  <c r="O33" i="4"/>
  <c r="P33" i="4" s="1"/>
  <c r="O34" i="4"/>
  <c r="P34" i="4" s="1"/>
  <c r="O35" i="4"/>
  <c r="Q35" i="4" s="1"/>
  <c r="O36" i="4"/>
  <c r="Q36" i="4" s="1"/>
  <c r="O37" i="4"/>
  <c r="P37" i="4" s="1"/>
  <c r="O38" i="4"/>
  <c r="P38" i="4" s="1"/>
  <c r="O39" i="4"/>
  <c r="Q39" i="4" s="1"/>
  <c r="O40" i="4"/>
  <c r="P40" i="4" s="1"/>
  <c r="O41" i="4"/>
  <c r="Q41" i="4" s="1"/>
  <c r="O42" i="4"/>
  <c r="Q42" i="4" s="1"/>
  <c r="O43" i="4"/>
  <c r="Q43" i="4" s="1"/>
  <c r="O44" i="4"/>
  <c r="O45" i="4"/>
  <c r="P45" i="4" s="1"/>
  <c r="O46" i="4"/>
  <c r="Q46" i="4" s="1"/>
  <c r="O47" i="4"/>
  <c r="P47" i="4" s="1"/>
  <c r="O48" i="4"/>
  <c r="Q48" i="4" s="1"/>
  <c r="O49" i="4"/>
  <c r="P49" i="4" s="1"/>
  <c r="O50" i="4"/>
  <c r="P50" i="4" s="1"/>
  <c r="O51" i="4"/>
  <c r="Q51" i="4" s="1"/>
  <c r="O27" i="4"/>
  <c r="Q27" i="4" s="1"/>
  <c r="O3" i="4"/>
  <c r="P3" i="4" s="1"/>
  <c r="O4" i="4"/>
  <c r="P4" i="4" s="1"/>
  <c r="O5" i="4"/>
  <c r="Q5" i="4" s="1"/>
  <c r="O6" i="4"/>
  <c r="Q6" i="4" s="1"/>
  <c r="O7" i="4"/>
  <c r="Q7" i="4" s="1"/>
  <c r="O8" i="4"/>
  <c r="P8" i="4" s="1"/>
  <c r="O9" i="4"/>
  <c r="P9" i="4" s="1"/>
  <c r="O10" i="4"/>
  <c r="P10" i="4" s="1"/>
  <c r="O11" i="4"/>
  <c r="P11" i="4" s="1"/>
  <c r="O12" i="4"/>
  <c r="P12" i="4" s="1"/>
  <c r="O13" i="4"/>
  <c r="Q13" i="4" s="1"/>
  <c r="O14" i="4"/>
  <c r="P14" i="4" s="1"/>
  <c r="O15" i="4"/>
  <c r="P15" i="4" s="1"/>
  <c r="O16" i="4"/>
  <c r="Q16" i="4" s="1"/>
  <c r="O17" i="4"/>
  <c r="Q17" i="4" s="1"/>
  <c r="O18" i="4"/>
  <c r="P18" i="4" s="1"/>
  <c r="O19" i="4"/>
  <c r="P19" i="4" s="1"/>
  <c r="O20" i="4"/>
  <c r="Q20" i="4" s="1"/>
  <c r="O21" i="4"/>
  <c r="P21" i="4" s="1"/>
  <c r="O22" i="4"/>
  <c r="P22" i="4" s="1"/>
  <c r="O23" i="4"/>
  <c r="Q23" i="4" s="1"/>
  <c r="O24" i="4"/>
  <c r="P24" i="4" s="1"/>
  <c r="O25" i="4"/>
  <c r="Q25" i="4" s="1"/>
  <c r="O26" i="4"/>
  <c r="P26" i="4" s="1"/>
  <c r="O2" i="4"/>
  <c r="P2" i="4" s="1"/>
  <c r="G51" i="4"/>
  <c r="F51" i="4"/>
  <c r="E51" i="4"/>
  <c r="C51" i="4"/>
  <c r="G50" i="4"/>
  <c r="F50" i="4"/>
  <c r="E50" i="4"/>
  <c r="C50" i="4"/>
  <c r="G49" i="4"/>
  <c r="F49" i="4"/>
  <c r="E49" i="4"/>
  <c r="C49" i="4"/>
  <c r="G48" i="4"/>
  <c r="F48" i="4"/>
  <c r="E48" i="4"/>
  <c r="C48" i="4"/>
  <c r="G47" i="4"/>
  <c r="F47" i="4"/>
  <c r="E47" i="4"/>
  <c r="C47" i="4"/>
  <c r="G46" i="4"/>
  <c r="F46" i="4"/>
  <c r="E46" i="4"/>
  <c r="C46" i="4"/>
  <c r="G45" i="4"/>
  <c r="F45" i="4"/>
  <c r="E45" i="4"/>
  <c r="C45" i="4"/>
  <c r="G44" i="4"/>
  <c r="AO74" i="2" s="1"/>
  <c r="F44" i="4"/>
  <c r="E44" i="4"/>
  <c r="AO61" i="2" s="1"/>
  <c r="C44" i="4"/>
  <c r="G43" i="4"/>
  <c r="F43" i="4"/>
  <c r="E43" i="4"/>
  <c r="C43" i="4"/>
  <c r="G42" i="4"/>
  <c r="F42" i="4"/>
  <c r="E42" i="4"/>
  <c r="C42" i="4"/>
  <c r="G41" i="4"/>
  <c r="F41" i="4"/>
  <c r="E41" i="4"/>
  <c r="C41" i="4"/>
  <c r="G40" i="4"/>
  <c r="F40" i="4"/>
  <c r="E40" i="4"/>
  <c r="C40" i="4"/>
  <c r="G39" i="4"/>
  <c r="F39" i="4"/>
  <c r="E39" i="4"/>
  <c r="C39" i="4"/>
  <c r="G38" i="4"/>
  <c r="F38" i="4"/>
  <c r="E38" i="4"/>
  <c r="C38" i="4"/>
  <c r="G37" i="4"/>
  <c r="F37" i="4"/>
  <c r="E37" i="4"/>
  <c r="D37" i="4"/>
  <c r="C37" i="4"/>
  <c r="G36" i="4"/>
  <c r="F36" i="4"/>
  <c r="E36" i="4"/>
  <c r="C36" i="4"/>
  <c r="G35" i="4"/>
  <c r="F35" i="4"/>
  <c r="J35" i="4" s="1"/>
  <c r="E35" i="4"/>
  <c r="C35" i="4"/>
  <c r="G34" i="4"/>
  <c r="F34" i="4"/>
  <c r="E34" i="4"/>
  <c r="D34" i="4"/>
  <c r="C34" i="4"/>
  <c r="G33" i="4"/>
  <c r="F33" i="4"/>
  <c r="E33" i="4"/>
  <c r="C33" i="4"/>
  <c r="G32" i="4"/>
  <c r="F32" i="4"/>
  <c r="E32" i="4"/>
  <c r="C32" i="4"/>
  <c r="G31" i="4"/>
  <c r="F31" i="4"/>
  <c r="E31" i="4"/>
  <c r="D31" i="4"/>
  <c r="C31" i="4"/>
  <c r="G30" i="4"/>
  <c r="F30" i="4"/>
  <c r="E30" i="4"/>
  <c r="C30" i="4"/>
  <c r="G29" i="4"/>
  <c r="F29" i="4"/>
  <c r="J29" i="4" s="1"/>
  <c r="E29" i="4"/>
  <c r="C29" i="4"/>
  <c r="G28" i="4"/>
  <c r="F28" i="4"/>
  <c r="E28" i="4"/>
  <c r="C28" i="4"/>
  <c r="G27" i="4"/>
  <c r="F27" i="4"/>
  <c r="J27" i="4" s="1"/>
  <c r="E27" i="4"/>
  <c r="C27" i="4"/>
  <c r="G26" i="4"/>
  <c r="F26" i="4"/>
  <c r="J26" i="4" s="1"/>
  <c r="E26" i="4"/>
  <c r="C26" i="4"/>
  <c r="G25" i="4"/>
  <c r="F25" i="4"/>
  <c r="E25" i="4"/>
  <c r="C25" i="4"/>
  <c r="G24" i="4"/>
  <c r="F24" i="4"/>
  <c r="E24" i="4"/>
  <c r="C24" i="4"/>
  <c r="G23" i="4"/>
  <c r="F23" i="4"/>
  <c r="E23" i="4"/>
  <c r="C23" i="4"/>
  <c r="G22" i="4"/>
  <c r="F22" i="4"/>
  <c r="J22" i="4" s="1"/>
  <c r="E22" i="4"/>
  <c r="C22" i="4"/>
  <c r="G21" i="4"/>
  <c r="F21" i="4"/>
  <c r="E21" i="4"/>
  <c r="C21" i="4"/>
  <c r="G20" i="4"/>
  <c r="F20" i="4"/>
  <c r="E20" i="4"/>
  <c r="C20" i="4"/>
  <c r="G19" i="4"/>
  <c r="F19" i="4"/>
  <c r="J19" i="4" s="1"/>
  <c r="E19" i="4"/>
  <c r="C19" i="4"/>
  <c r="G18" i="4"/>
  <c r="F18" i="4"/>
  <c r="E18" i="4"/>
  <c r="C18" i="4"/>
  <c r="G17" i="4"/>
  <c r="F17" i="4"/>
  <c r="E17" i="4"/>
  <c r="C17" i="4"/>
  <c r="G16" i="4"/>
  <c r="F16" i="4"/>
  <c r="E16" i="4"/>
  <c r="C16" i="4"/>
  <c r="G15" i="4"/>
  <c r="F15" i="4"/>
  <c r="J15" i="4" s="1"/>
  <c r="E15" i="4"/>
  <c r="C15" i="4"/>
  <c r="G14" i="4"/>
  <c r="F14" i="4"/>
  <c r="E14" i="4"/>
  <c r="C14" i="4"/>
  <c r="G13" i="4"/>
  <c r="F13" i="4"/>
  <c r="J13" i="4" s="1"/>
  <c r="E13" i="4"/>
  <c r="C13" i="4"/>
  <c r="G12" i="4"/>
  <c r="F12" i="4"/>
  <c r="E12" i="4"/>
  <c r="C12" i="4"/>
  <c r="G11" i="4"/>
  <c r="F11" i="4"/>
  <c r="E11" i="4"/>
  <c r="C11" i="4"/>
  <c r="G10" i="4"/>
  <c r="F10" i="4"/>
  <c r="E10" i="4"/>
  <c r="C10" i="4"/>
  <c r="G9" i="4"/>
  <c r="F9" i="4"/>
  <c r="E9" i="4"/>
  <c r="C9" i="4"/>
  <c r="G8" i="4"/>
  <c r="F8" i="4"/>
  <c r="E8" i="4"/>
  <c r="C8" i="4"/>
  <c r="G7" i="4"/>
  <c r="F7" i="4"/>
  <c r="E7" i="4"/>
  <c r="C7" i="4"/>
  <c r="G6" i="4"/>
  <c r="F6" i="4"/>
  <c r="J6" i="4" s="1"/>
  <c r="E6" i="4"/>
  <c r="C6" i="4"/>
  <c r="G5" i="4"/>
  <c r="F5" i="4"/>
  <c r="E5" i="4"/>
  <c r="C5" i="4"/>
  <c r="G4" i="4"/>
  <c r="F4" i="4"/>
  <c r="E4" i="4"/>
  <c r="C4" i="4"/>
  <c r="G3" i="4"/>
  <c r="F3" i="4"/>
  <c r="E3" i="4"/>
  <c r="C3" i="4"/>
  <c r="G2" i="4"/>
  <c r="F2" i="4"/>
  <c r="E2" i="4"/>
  <c r="C2" i="4"/>
  <c r="BO51" i="3"/>
  <c r="BG51" i="3"/>
  <c r="X51" i="3"/>
  <c r="W51" i="3"/>
  <c r="S51" i="3"/>
  <c r="BO50" i="3"/>
  <c r="BG50" i="3"/>
  <c r="X50" i="3"/>
  <c r="W50" i="3"/>
  <c r="S50" i="3"/>
  <c r="BO49" i="3"/>
  <c r="BG49" i="3"/>
  <c r="X49" i="3"/>
  <c r="W49" i="3"/>
  <c r="S49" i="3"/>
  <c r="BO48" i="3"/>
  <c r="BG48" i="3"/>
  <c r="X48" i="3"/>
  <c r="W48" i="3"/>
  <c r="S48" i="3"/>
  <c r="BO47" i="3"/>
  <c r="BG47" i="3"/>
  <c r="X47" i="3"/>
  <c r="W47" i="3"/>
  <c r="S47" i="3"/>
  <c r="BO46" i="3"/>
  <c r="BG46" i="3"/>
  <c r="X46" i="3"/>
  <c r="W46" i="3"/>
  <c r="S46" i="3"/>
  <c r="BO45" i="3"/>
  <c r="BG45" i="3"/>
  <c r="X45" i="3"/>
  <c r="W45" i="3"/>
  <c r="S45" i="3"/>
  <c r="BO44" i="3"/>
  <c r="BG44" i="3"/>
  <c r="X44" i="3"/>
  <c r="Y116" i="2" s="1"/>
  <c r="W44" i="3"/>
  <c r="S44" i="3"/>
  <c r="Y107" i="2" s="1"/>
  <c r="BO43" i="3"/>
  <c r="BG43" i="3"/>
  <c r="X43" i="3"/>
  <c r="W43" i="3"/>
  <c r="BO42" i="3"/>
  <c r="BG42" i="3"/>
  <c r="X42" i="3"/>
  <c r="W42" i="3"/>
  <c r="S42" i="3"/>
  <c r="BO41" i="3"/>
  <c r="BG41" i="3"/>
  <c r="X41" i="3"/>
  <c r="S41" i="3"/>
  <c r="BO40" i="3"/>
  <c r="BG40" i="3"/>
  <c r="X40" i="3"/>
  <c r="W40" i="3"/>
  <c r="S40" i="3"/>
  <c r="BO39" i="3"/>
  <c r="BG39" i="3"/>
  <c r="X39" i="3"/>
  <c r="W39" i="3"/>
  <c r="S39" i="3"/>
  <c r="BO38" i="3"/>
  <c r="BG38" i="3"/>
  <c r="X38" i="3"/>
  <c r="W38" i="3"/>
  <c r="S38" i="3"/>
  <c r="BO37" i="3"/>
  <c r="BG37" i="3"/>
  <c r="X37" i="3"/>
  <c r="W37" i="3"/>
  <c r="S37" i="3"/>
  <c r="BO36" i="3"/>
  <c r="BG36" i="3"/>
  <c r="X36" i="3"/>
  <c r="W36" i="3"/>
  <c r="S36" i="4" s="1"/>
  <c r="S36" i="3"/>
  <c r="BO35" i="3"/>
  <c r="BG35" i="3"/>
  <c r="X35" i="3"/>
  <c r="W35" i="3"/>
  <c r="S35" i="3"/>
  <c r="BO34" i="3"/>
  <c r="BG34" i="3"/>
  <c r="X34" i="3"/>
  <c r="W34" i="3"/>
  <c r="S34" i="3"/>
  <c r="BO33" i="3"/>
  <c r="BG33" i="3"/>
  <c r="X33" i="3"/>
  <c r="T33" i="4" s="1"/>
  <c r="W33" i="3"/>
  <c r="S33" i="3"/>
  <c r="BO32" i="3"/>
  <c r="BG32" i="3"/>
  <c r="X32" i="3"/>
  <c r="W32" i="3"/>
  <c r="S32" i="3"/>
  <c r="BO31" i="3"/>
  <c r="BG31" i="3"/>
  <c r="X31" i="3"/>
  <c r="W31" i="3"/>
  <c r="S31" i="3"/>
  <c r="BO30" i="3"/>
  <c r="BG30" i="3"/>
  <c r="X30" i="3"/>
  <c r="W30" i="3"/>
  <c r="S30" i="3"/>
  <c r="BO29" i="3"/>
  <c r="BG29" i="3"/>
  <c r="X29" i="3"/>
  <c r="W29" i="3"/>
  <c r="S29" i="3"/>
  <c r="BO28" i="3"/>
  <c r="BG28" i="3"/>
  <c r="X28" i="3"/>
  <c r="W28" i="3"/>
  <c r="S28" i="3"/>
  <c r="BO27" i="3"/>
  <c r="BG27" i="3"/>
  <c r="X27" i="3"/>
  <c r="W27" i="3"/>
  <c r="S27" i="3"/>
  <c r="BO26" i="3"/>
  <c r="BG26" i="3"/>
  <c r="X26" i="3"/>
  <c r="W26" i="3"/>
  <c r="S26" i="3"/>
  <c r="BO25" i="3"/>
  <c r="BG25" i="3"/>
  <c r="X25" i="3"/>
  <c r="W25" i="3"/>
  <c r="S25" i="3"/>
  <c r="BO24" i="3"/>
  <c r="BG24" i="3"/>
  <c r="X24" i="3"/>
  <c r="W24" i="3"/>
  <c r="S24" i="3"/>
  <c r="BO23" i="3"/>
  <c r="BG23" i="3"/>
  <c r="X23" i="3"/>
  <c r="W23" i="3"/>
  <c r="S23" i="3"/>
  <c r="BO22" i="3"/>
  <c r="BG22" i="3"/>
  <c r="X22" i="3"/>
  <c r="W22" i="3"/>
  <c r="S22" i="3"/>
  <c r="BO21" i="3"/>
  <c r="BG21" i="3"/>
  <c r="X21" i="3"/>
  <c r="W21" i="3"/>
  <c r="S21" i="3"/>
  <c r="BO20" i="3"/>
  <c r="BG20" i="3"/>
  <c r="X20" i="3"/>
  <c r="W20" i="3"/>
  <c r="S20" i="3"/>
  <c r="BO19" i="3"/>
  <c r="BG19" i="3"/>
  <c r="X19" i="3"/>
  <c r="W19" i="3"/>
  <c r="S19" i="3"/>
  <c r="BO18" i="3"/>
  <c r="BG18" i="3"/>
  <c r="X18" i="3"/>
  <c r="W18" i="3"/>
  <c r="S18" i="3"/>
  <c r="BO17" i="3"/>
  <c r="BG17" i="3"/>
  <c r="X17" i="3"/>
  <c r="W17" i="3"/>
  <c r="S17" i="3"/>
  <c r="BO16" i="3"/>
  <c r="BG16" i="3"/>
  <c r="X16" i="3"/>
  <c r="T16" i="4" s="1"/>
  <c r="W16" i="3"/>
  <c r="S16" i="3"/>
  <c r="BO15" i="3"/>
  <c r="BG15" i="3"/>
  <c r="X15" i="3"/>
  <c r="W15" i="3"/>
  <c r="S15" i="3"/>
  <c r="BO14" i="3"/>
  <c r="BG14" i="3"/>
  <c r="X14" i="3"/>
  <c r="W14" i="3"/>
  <c r="S14" i="3"/>
  <c r="BO13" i="3"/>
  <c r="BG13" i="3"/>
  <c r="X13" i="3"/>
  <c r="W13" i="3"/>
  <c r="S13" i="3"/>
  <c r="BO12" i="3"/>
  <c r="BG12" i="3"/>
  <c r="X12" i="3"/>
  <c r="W12" i="3"/>
  <c r="S12" i="3"/>
  <c r="BO11" i="3"/>
  <c r="BG11" i="3"/>
  <c r="X11" i="3"/>
  <c r="W11" i="3"/>
  <c r="S11" i="3"/>
  <c r="BO10" i="3"/>
  <c r="BG10" i="3"/>
  <c r="X10" i="3"/>
  <c r="W10" i="3"/>
  <c r="S10" i="3"/>
  <c r="BO9" i="3"/>
  <c r="BG9" i="3"/>
  <c r="X9" i="3"/>
  <c r="W9" i="3"/>
  <c r="S9" i="3"/>
  <c r="BO8" i="3"/>
  <c r="BG8" i="3"/>
  <c r="X8" i="3"/>
  <c r="W8" i="3"/>
  <c r="S8" i="3"/>
  <c r="BG7" i="3"/>
  <c r="X7" i="3"/>
  <c r="W7" i="3"/>
  <c r="S7" i="3"/>
  <c r="D43" i="4" s="1"/>
  <c r="BO6" i="3"/>
  <c r="BG6" i="3"/>
  <c r="X6" i="3"/>
  <c r="W6" i="3"/>
  <c r="S6" i="3"/>
  <c r="BO5" i="3"/>
  <c r="BG5" i="3"/>
  <c r="X5" i="3"/>
  <c r="W5" i="3"/>
  <c r="S5" i="4" s="1"/>
  <c r="S5" i="3"/>
  <c r="BO4" i="3"/>
  <c r="BG4" i="3"/>
  <c r="X4" i="3"/>
  <c r="W4" i="3"/>
  <c r="S50" i="4" s="1"/>
  <c r="S4" i="3"/>
  <c r="BO3" i="3"/>
  <c r="BG3" i="3"/>
  <c r="X3" i="3"/>
  <c r="W3" i="3"/>
  <c r="BO2" i="3"/>
  <c r="BG2" i="3"/>
  <c r="X2" i="3"/>
  <c r="W2" i="3"/>
  <c r="S23" i="4" s="1"/>
  <c r="S2" i="3"/>
  <c r="J34" i="4"/>
  <c r="J37" i="4"/>
  <c r="AO103" i="2"/>
  <c r="CN17" i="10"/>
  <c r="CN3" i="10"/>
  <c r="CN16" i="10"/>
  <c r="CN26" i="10"/>
  <c r="CN48" i="10"/>
  <c r="CN5" i="10"/>
  <c r="CN27" i="10"/>
  <c r="CN39" i="10"/>
  <c r="CN11" i="10"/>
  <c r="CN49" i="10"/>
  <c r="AI54" i="3"/>
  <c r="J10" i="4"/>
  <c r="AO147" i="2"/>
  <c r="M14" i="7" l="1"/>
  <c r="J43" i="4"/>
  <c r="J50" i="4"/>
  <c r="J16" i="4"/>
  <c r="J47" i="4"/>
  <c r="J46" i="4"/>
  <c r="J21" i="5"/>
  <c r="J2" i="4"/>
  <c r="J30" i="4"/>
  <c r="L48" i="5"/>
  <c r="L50" i="5"/>
  <c r="J30" i="5"/>
  <c r="O30" i="5" s="1"/>
  <c r="D24" i="7"/>
  <c r="G24" i="7" s="1"/>
  <c r="C45" i="7"/>
  <c r="F45" i="7" s="1"/>
  <c r="J42" i="4"/>
  <c r="J49" i="4"/>
  <c r="C28" i="7"/>
  <c r="F28" i="7" s="1"/>
  <c r="J32" i="5"/>
  <c r="O32" i="5" s="1"/>
  <c r="D34" i="7"/>
  <c r="G34" i="7" s="1"/>
  <c r="C26" i="7"/>
  <c r="F26" i="7" s="1"/>
  <c r="F53" i="6"/>
  <c r="J16" i="5"/>
  <c r="O16" i="5" s="1"/>
  <c r="L16" i="5"/>
  <c r="C44" i="7"/>
  <c r="F44" i="7" s="1"/>
  <c r="AI53" i="3"/>
  <c r="J8" i="5"/>
  <c r="M2" i="5"/>
  <c r="P2" i="5" s="1"/>
  <c r="D42" i="7"/>
  <c r="G42" i="7" s="1"/>
  <c r="M18" i="5"/>
  <c r="P18" i="5" s="1"/>
  <c r="L14" i="5"/>
  <c r="J40" i="4"/>
  <c r="J17" i="4"/>
  <c r="C25" i="7"/>
  <c r="F25" i="7" s="1"/>
  <c r="J12" i="4"/>
  <c r="L19" i="5"/>
  <c r="J31" i="4"/>
  <c r="J48" i="4"/>
  <c r="C8" i="7"/>
  <c r="F8" i="7" s="1"/>
  <c r="M20" i="5"/>
  <c r="L18" i="5"/>
  <c r="J17" i="5"/>
  <c r="O17" i="5" s="1"/>
  <c r="M25" i="5"/>
  <c r="J21" i="4"/>
  <c r="J38" i="4"/>
  <c r="J45" i="4"/>
  <c r="J41" i="4"/>
  <c r="J4" i="4"/>
  <c r="J11" i="4"/>
  <c r="J25" i="4"/>
  <c r="J32" i="4"/>
  <c r="C24" i="7"/>
  <c r="F24" i="7" s="1"/>
  <c r="C2" i="7"/>
  <c r="C4" i="7"/>
  <c r="F4" i="7" s="1"/>
  <c r="C13" i="7"/>
  <c r="F13" i="7" s="1"/>
  <c r="C27" i="7"/>
  <c r="F27" i="7" s="1"/>
  <c r="C15" i="7"/>
  <c r="F15" i="7" s="1"/>
  <c r="C9" i="7"/>
  <c r="F9" i="7" s="1"/>
  <c r="I9" i="7" s="1"/>
  <c r="C29" i="7"/>
  <c r="F29" i="7" s="1"/>
  <c r="C50" i="7"/>
  <c r="F50" i="7" s="1"/>
  <c r="C10" i="7"/>
  <c r="F10" i="7" s="1"/>
  <c r="C12" i="7"/>
  <c r="F12" i="7" s="1"/>
  <c r="C34" i="7"/>
  <c r="F34" i="7" s="1"/>
  <c r="C30" i="7"/>
  <c r="F30" i="7" s="1"/>
  <c r="C16" i="7"/>
  <c r="F16" i="7" s="1"/>
  <c r="C46" i="7"/>
  <c r="F46" i="7" s="1"/>
  <c r="C17" i="7"/>
  <c r="F17" i="7" s="1"/>
  <c r="C47" i="7"/>
  <c r="F47" i="7" s="1"/>
  <c r="C48" i="7"/>
  <c r="F48" i="7" s="1"/>
  <c r="C21" i="7"/>
  <c r="F21" i="7" s="1"/>
  <c r="C37" i="7"/>
  <c r="F37" i="7" s="1"/>
  <c r="C51" i="7"/>
  <c r="F51" i="7" s="1"/>
  <c r="I51" i="7" s="1"/>
  <c r="C38" i="7"/>
  <c r="F38" i="7" s="1"/>
  <c r="C7" i="7"/>
  <c r="F7" i="7" s="1"/>
  <c r="M7" i="7" s="1"/>
  <c r="C49" i="7"/>
  <c r="F49" i="7" s="1"/>
  <c r="C41" i="7"/>
  <c r="F41" i="7" s="1"/>
  <c r="C35" i="7"/>
  <c r="F35" i="7" s="1"/>
  <c r="C5" i="7"/>
  <c r="F5" i="7" s="1"/>
  <c r="D19" i="7"/>
  <c r="G19" i="7" s="1"/>
  <c r="D5" i="7"/>
  <c r="G5" i="7" s="1"/>
  <c r="D17" i="7"/>
  <c r="G17" i="7" s="1"/>
  <c r="D43" i="7"/>
  <c r="G43" i="7" s="1"/>
  <c r="D9" i="7"/>
  <c r="G9" i="7" s="1"/>
  <c r="D32" i="7"/>
  <c r="G32" i="7" s="1"/>
  <c r="D13" i="7"/>
  <c r="G13" i="7" s="1"/>
  <c r="C22" i="7"/>
  <c r="F22" i="7" s="1"/>
  <c r="L28" i="5"/>
  <c r="J31" i="5"/>
  <c r="O31" i="5" s="1"/>
  <c r="C36" i="7"/>
  <c r="F36" i="7" s="1"/>
  <c r="M42" i="5"/>
  <c r="J51" i="5"/>
  <c r="O51" i="5" s="1"/>
  <c r="D27" i="7"/>
  <c r="G27" i="7" s="1"/>
  <c r="D50" i="7"/>
  <c r="G50" i="7" s="1"/>
  <c r="C11" i="7"/>
  <c r="F11" i="7" s="1"/>
  <c r="L51" i="5"/>
  <c r="M11" i="5"/>
  <c r="M38" i="5"/>
  <c r="M10" i="5"/>
  <c r="M9" i="5"/>
  <c r="M35" i="5"/>
  <c r="M40" i="5"/>
  <c r="M44" i="5"/>
  <c r="AO116" i="2" s="1"/>
  <c r="M15" i="5"/>
  <c r="L23" i="5"/>
  <c r="L12" i="5"/>
  <c r="J24" i="5"/>
  <c r="O24" i="5" s="1"/>
  <c r="J50" i="5"/>
  <c r="O50" i="5" s="1"/>
  <c r="J26" i="5"/>
  <c r="O26" i="5" s="1"/>
  <c r="J5" i="5"/>
  <c r="O5" i="5" s="1"/>
  <c r="J7" i="5"/>
  <c r="O7" i="5" s="1"/>
  <c r="J3" i="5"/>
  <c r="O3" i="5" s="1"/>
  <c r="D33" i="7"/>
  <c r="G33" i="7" s="1"/>
  <c r="M39" i="5"/>
  <c r="D40" i="7"/>
  <c r="G40" i="7" s="1"/>
  <c r="J48" i="5"/>
  <c r="O48" i="5" s="1"/>
  <c r="L30" i="5"/>
  <c r="D39" i="7"/>
  <c r="G39" i="7" s="1"/>
  <c r="P53" i="7"/>
  <c r="D15" i="7"/>
  <c r="G15" i="7" s="1"/>
  <c r="C18" i="7"/>
  <c r="F18" i="7" s="1"/>
  <c r="M18" i="7" s="1"/>
  <c r="L24" i="5"/>
  <c r="J27" i="5"/>
  <c r="D29" i="7"/>
  <c r="G29" i="7" s="1"/>
  <c r="C32" i="7"/>
  <c r="F32" i="7" s="1"/>
  <c r="L38" i="5"/>
  <c r="J41" i="5"/>
  <c r="J47" i="5"/>
  <c r="O47" i="5" s="1"/>
  <c r="D28" i="7"/>
  <c r="G28" i="7" s="1"/>
  <c r="D18" i="7"/>
  <c r="G18" i="7" s="1"/>
  <c r="D31" i="7"/>
  <c r="G31" i="7" s="1"/>
  <c r="D49" i="7"/>
  <c r="G49" i="7" s="1"/>
  <c r="L4" i="5"/>
  <c r="D47" i="7"/>
  <c r="G47" i="7" s="1"/>
  <c r="D25" i="7"/>
  <c r="G25" i="7" s="1"/>
  <c r="M19" i="5"/>
  <c r="X53" i="3"/>
  <c r="AG116" i="2" s="1"/>
  <c r="M33" i="5"/>
  <c r="M16" i="5"/>
  <c r="M30" i="5"/>
  <c r="M27" i="5"/>
  <c r="X54" i="3"/>
  <c r="M50" i="5"/>
  <c r="P50" i="5" s="1"/>
  <c r="M32" i="5"/>
  <c r="M47" i="5"/>
  <c r="M46" i="5"/>
  <c r="M26" i="5"/>
  <c r="M4" i="5"/>
  <c r="P4" i="5" s="1"/>
  <c r="M7" i="5"/>
  <c r="M41" i="5"/>
  <c r="M13" i="5"/>
  <c r="M21" i="5"/>
  <c r="T5" i="4"/>
  <c r="M5" i="5"/>
  <c r="P5" i="5" s="1"/>
  <c r="M8" i="5"/>
  <c r="S11" i="4"/>
  <c r="L11" i="5"/>
  <c r="D14" i="4"/>
  <c r="I14" i="4" s="1"/>
  <c r="J14" i="5"/>
  <c r="O14" i="5" s="1"/>
  <c r="D16" i="7"/>
  <c r="G16" i="7" s="1"/>
  <c r="C19" i="7"/>
  <c r="F19" i="7" s="1"/>
  <c r="M22" i="5"/>
  <c r="P22" i="5" s="1"/>
  <c r="L25" i="5"/>
  <c r="J28" i="5"/>
  <c r="O28" i="5" s="1"/>
  <c r="D30" i="7"/>
  <c r="G30" i="7" s="1"/>
  <c r="C33" i="7"/>
  <c r="F33" i="7" s="1"/>
  <c r="M36" i="5"/>
  <c r="L39" i="5"/>
  <c r="L42" i="5"/>
  <c r="L45" i="5"/>
  <c r="J7" i="4"/>
  <c r="J14" i="4"/>
  <c r="J28" i="4"/>
  <c r="M45" i="5"/>
  <c r="D12" i="7"/>
  <c r="G12" i="7" s="1"/>
  <c r="D38" i="7"/>
  <c r="G38" i="7" s="1"/>
  <c r="D26" i="7"/>
  <c r="G26" i="7" s="1"/>
  <c r="D4" i="7"/>
  <c r="G4" i="7" s="1"/>
  <c r="D21" i="7"/>
  <c r="G21" i="7" s="1"/>
  <c r="D35" i="7"/>
  <c r="G35" i="7" s="1"/>
  <c r="D23" i="7"/>
  <c r="G23" i="7" s="1"/>
  <c r="D44" i="7"/>
  <c r="G44" i="7" s="1"/>
  <c r="AT211" i="2" s="1"/>
  <c r="D7" i="7"/>
  <c r="G7" i="7" s="1"/>
  <c r="D46" i="7"/>
  <c r="G46" i="7" s="1"/>
  <c r="D2" i="7"/>
  <c r="D3" i="7"/>
  <c r="G3" i="7" s="1"/>
  <c r="D20" i="7"/>
  <c r="G20" i="7" s="1"/>
  <c r="D8" i="7"/>
  <c r="G8" i="7" s="1"/>
  <c r="M14" i="5"/>
  <c r="L17" i="5"/>
  <c r="J20" i="5"/>
  <c r="D22" i="7"/>
  <c r="G22" i="7" s="1"/>
  <c r="M28" i="5"/>
  <c r="L31" i="5"/>
  <c r="J34" i="5"/>
  <c r="D36" i="7"/>
  <c r="G36" i="7" s="1"/>
  <c r="C39" i="7"/>
  <c r="F39" i="7" s="1"/>
  <c r="C42" i="7"/>
  <c r="F42" i="7" s="1"/>
  <c r="I42" i="7" s="1"/>
  <c r="F42" i="8" s="1"/>
  <c r="M48" i="5"/>
  <c r="F54" i="6"/>
  <c r="J4" i="5"/>
  <c r="O4" i="5" s="1"/>
  <c r="M17" i="5"/>
  <c r="M24" i="5"/>
  <c r="L7" i="5"/>
  <c r="L5" i="5"/>
  <c r="L2" i="5"/>
  <c r="L10" i="5"/>
  <c r="L21" i="5"/>
  <c r="L36" i="5"/>
  <c r="L35" i="5"/>
  <c r="L41" i="5"/>
  <c r="L8" i="5"/>
  <c r="L33" i="5"/>
  <c r="W54" i="3"/>
  <c r="L47" i="5"/>
  <c r="L29" i="5"/>
  <c r="L44" i="5"/>
  <c r="AO120" i="2" s="1"/>
  <c r="L3" i="5"/>
  <c r="L27" i="5"/>
  <c r="L22" i="5"/>
  <c r="W53" i="3"/>
  <c r="AG120" i="2" s="1"/>
  <c r="L46" i="5"/>
  <c r="J2" i="5"/>
  <c r="O2" i="5" s="1"/>
  <c r="J40" i="5"/>
  <c r="O40" i="5" s="1"/>
  <c r="J19" i="5"/>
  <c r="O19" i="5" s="1"/>
  <c r="J33" i="5"/>
  <c r="O33" i="5" s="1"/>
  <c r="J9" i="5"/>
  <c r="O9" i="5" s="1"/>
  <c r="D11" i="7"/>
  <c r="G11" i="7" s="1"/>
  <c r="C14" i="7"/>
  <c r="F14" i="7" s="1"/>
  <c r="L20" i="5"/>
  <c r="J23" i="5"/>
  <c r="O23" i="5" s="1"/>
  <c r="M31" i="5"/>
  <c r="L34" i="5"/>
  <c r="J37" i="5"/>
  <c r="O37" i="5" s="1"/>
  <c r="D10" i="7"/>
  <c r="G10" i="7" s="1"/>
  <c r="L40" i="5"/>
  <c r="L6" i="5"/>
  <c r="L13" i="5"/>
  <c r="C31" i="7"/>
  <c r="F31" i="7" s="1"/>
  <c r="M34" i="5"/>
  <c r="P34" i="5" s="1"/>
  <c r="L37" i="5"/>
  <c r="D41" i="7"/>
  <c r="G41" i="7" s="1"/>
  <c r="J6" i="5"/>
  <c r="O6" i="5" s="1"/>
  <c r="S54" i="3"/>
  <c r="C20" i="7"/>
  <c r="F20" i="7" s="1"/>
  <c r="I20" i="7" s="1"/>
  <c r="L26" i="5"/>
  <c r="M37" i="5"/>
  <c r="M43" i="5"/>
  <c r="D51" i="7"/>
  <c r="G51" i="7" s="1"/>
  <c r="Q54" i="7"/>
  <c r="Q53" i="7"/>
  <c r="J10" i="5"/>
  <c r="O10" i="5" s="1"/>
  <c r="D45" i="7"/>
  <c r="G45" i="7" s="1"/>
  <c r="O41" i="5"/>
  <c r="M3" i="5"/>
  <c r="J12" i="5"/>
  <c r="O12" i="5" s="1"/>
  <c r="D14" i="7"/>
  <c r="G14" i="7" s="1"/>
  <c r="L43" i="5"/>
  <c r="D48" i="7"/>
  <c r="G48" i="7" s="1"/>
  <c r="C3" i="7"/>
  <c r="F3" i="7" s="1"/>
  <c r="M6" i="5"/>
  <c r="J15" i="5"/>
  <c r="O15" i="5" s="1"/>
  <c r="M23" i="5"/>
  <c r="J29" i="5"/>
  <c r="J49" i="5"/>
  <c r="O49" i="5" s="1"/>
  <c r="O8" i="5"/>
  <c r="O29" i="5"/>
  <c r="C6" i="7"/>
  <c r="F6" i="7" s="1"/>
  <c r="M12" i="5"/>
  <c r="L15" i="5"/>
  <c r="J18" i="5"/>
  <c r="O18" i="5" s="1"/>
  <c r="C23" i="7"/>
  <c r="F23" i="7" s="1"/>
  <c r="C43" i="7"/>
  <c r="F43" i="7" s="1"/>
  <c r="L49" i="5"/>
  <c r="J5" i="4"/>
  <c r="M51" i="5"/>
  <c r="J18" i="4"/>
  <c r="O20" i="5"/>
  <c r="O34" i="5"/>
  <c r="L9" i="5"/>
  <c r="J46" i="5"/>
  <c r="O46" i="5" s="1"/>
  <c r="J25" i="5"/>
  <c r="O25" i="5" s="1"/>
  <c r="S53" i="3"/>
  <c r="AG107" i="2" s="1"/>
  <c r="J38" i="5"/>
  <c r="O38" i="5" s="1"/>
  <c r="J11" i="5"/>
  <c r="O11" i="5" s="1"/>
  <c r="J43" i="5"/>
  <c r="O43" i="5" s="1"/>
  <c r="J13" i="5"/>
  <c r="O13" i="5" s="1"/>
  <c r="J39" i="5"/>
  <c r="O39" i="5" s="1"/>
  <c r="J44" i="5"/>
  <c r="J45" i="5"/>
  <c r="O45" i="5" s="1"/>
  <c r="J42" i="5"/>
  <c r="O42" i="5" s="1"/>
  <c r="J36" i="5"/>
  <c r="O36" i="5" s="1"/>
  <c r="D6" i="7"/>
  <c r="G6" i="7" s="1"/>
  <c r="M29" i="5"/>
  <c r="L32" i="5"/>
  <c r="J35" i="5"/>
  <c r="O35" i="5" s="1"/>
  <c r="D37" i="7"/>
  <c r="G37" i="7" s="1"/>
  <c r="C40" i="7"/>
  <c r="F40" i="7" s="1"/>
  <c r="M49" i="5"/>
  <c r="I43" i="4"/>
  <c r="L43" i="4" s="1"/>
  <c r="C43" i="8" s="1"/>
  <c r="J9" i="4"/>
  <c r="J23" i="4"/>
  <c r="J33" i="4"/>
  <c r="J20" i="4"/>
  <c r="J51" i="4"/>
  <c r="O21" i="5"/>
  <c r="J22" i="5"/>
  <c r="O22" i="5" s="1"/>
  <c r="J24" i="4"/>
  <c r="T8" i="4"/>
  <c r="S25" i="4"/>
  <c r="D28" i="4"/>
  <c r="I28" i="4" s="1"/>
  <c r="T36" i="4"/>
  <c r="S42" i="4"/>
  <c r="AO70" i="2"/>
  <c r="J44" i="4"/>
  <c r="AT65" i="2" s="1"/>
  <c r="T11" i="4"/>
  <c r="T25" i="4"/>
  <c r="D51" i="4"/>
  <c r="I51" i="4" s="1"/>
  <c r="D25" i="4"/>
  <c r="I25" i="4" s="1"/>
  <c r="L25" i="4" s="1"/>
  <c r="D22" i="4"/>
  <c r="I22" i="4" s="1"/>
  <c r="L22" i="4" s="1"/>
  <c r="T2" i="4"/>
  <c r="AE53" i="3"/>
  <c r="AG87" i="2" s="1"/>
  <c r="T28" i="4"/>
  <c r="T46" i="4"/>
  <c r="T19" i="4"/>
  <c r="T20" i="4"/>
  <c r="T48" i="4"/>
  <c r="T49" i="4"/>
  <c r="T29" i="4"/>
  <c r="T34" i="4"/>
  <c r="T13" i="4"/>
  <c r="T41" i="4"/>
  <c r="T43" i="4"/>
  <c r="T3" i="4"/>
  <c r="T31" i="4"/>
  <c r="T30" i="4"/>
  <c r="T22" i="4"/>
  <c r="S39" i="4"/>
  <c r="D17" i="4"/>
  <c r="I17" i="4" s="1"/>
  <c r="T39" i="4"/>
  <c r="J8" i="4"/>
  <c r="AE54" i="3"/>
  <c r="S21" i="4"/>
  <c r="V54" i="6"/>
  <c r="V53" i="6"/>
  <c r="S35" i="4"/>
  <c r="T42" i="4"/>
  <c r="U53" i="6"/>
  <c r="U54" i="6"/>
  <c r="T15" i="4"/>
  <c r="T44" i="4"/>
  <c r="AO87" i="2" s="1"/>
  <c r="S4" i="4"/>
  <c r="S26" i="4"/>
  <c r="S2" i="4"/>
  <c r="S3" i="4"/>
  <c r="S31" i="4"/>
  <c r="S6" i="4"/>
  <c r="AD54" i="3"/>
  <c r="S8" i="4"/>
  <c r="S9" i="4"/>
  <c r="S20" i="4"/>
  <c r="S34" i="4"/>
  <c r="S37" i="4"/>
  <c r="S48" i="4"/>
  <c r="S49" i="4"/>
  <c r="D7" i="4"/>
  <c r="I7" i="4" s="1"/>
  <c r="D29" i="4"/>
  <c r="I29" i="4" s="1"/>
  <c r="L29" i="4" s="1"/>
  <c r="D16" i="4"/>
  <c r="I16" i="4" s="1"/>
  <c r="L16" i="4" s="1"/>
  <c r="D19" i="4"/>
  <c r="I19" i="4" s="1"/>
  <c r="L19" i="4" s="1"/>
  <c r="D39" i="4"/>
  <c r="I39" i="4" s="1"/>
  <c r="D30" i="4"/>
  <c r="I30" i="4" s="1"/>
  <c r="D5" i="4"/>
  <c r="I5" i="4" s="1"/>
  <c r="L5" i="4" s="1"/>
  <c r="D42" i="4"/>
  <c r="I42" i="4" s="1"/>
  <c r="D33" i="4"/>
  <c r="I33" i="4" s="1"/>
  <c r="D8" i="4"/>
  <c r="I8" i="4" s="1"/>
  <c r="D36" i="4"/>
  <c r="I36" i="4" s="1"/>
  <c r="D10" i="4"/>
  <c r="I10" i="4" s="1"/>
  <c r="L10" i="4" s="1"/>
  <c r="T18" i="4"/>
  <c r="D24" i="4"/>
  <c r="I24" i="4" s="1"/>
  <c r="T32" i="4"/>
  <c r="D38" i="4"/>
  <c r="I38" i="4" s="1"/>
  <c r="D44" i="4"/>
  <c r="AO57" i="2" s="1"/>
  <c r="S10" i="4"/>
  <c r="D13" i="4"/>
  <c r="I13" i="4" s="1"/>
  <c r="L13" i="4" s="1"/>
  <c r="S38" i="4"/>
  <c r="D41" i="4"/>
  <c r="I41" i="4" s="1"/>
  <c r="T14" i="4"/>
  <c r="W53" i="6"/>
  <c r="W54" i="6"/>
  <c r="P54" i="7"/>
  <c r="D12" i="4"/>
  <c r="I12" i="4" s="1"/>
  <c r="D26" i="4"/>
  <c r="I26" i="4" s="1"/>
  <c r="L26" i="4" s="1"/>
  <c r="D40" i="4"/>
  <c r="I40" i="4" s="1"/>
  <c r="L40" i="4" s="1"/>
  <c r="S43" i="4"/>
  <c r="D46" i="4"/>
  <c r="I46" i="4" s="1"/>
  <c r="S12" i="4"/>
  <c r="S51" i="4"/>
  <c r="I31" i="4"/>
  <c r="I34" i="4"/>
  <c r="L34" i="4" s="1"/>
  <c r="I37" i="4"/>
  <c r="L37" i="4" s="1"/>
  <c r="S7" i="4"/>
  <c r="T21" i="4"/>
  <c r="S24" i="4"/>
  <c r="D27" i="4"/>
  <c r="I27" i="4" s="1"/>
  <c r="L27" i="4" s="1"/>
  <c r="T35" i="4"/>
  <c r="S44" i="4"/>
  <c r="AO83" i="2" s="1"/>
  <c r="Y120" i="2"/>
  <c r="D47" i="4"/>
  <c r="I47" i="4" s="1"/>
  <c r="L47" i="4" s="1"/>
  <c r="T7" i="4"/>
  <c r="S27" i="4"/>
  <c r="AO164" i="2"/>
  <c r="T47" i="4"/>
  <c r="AO53" i="2"/>
  <c r="Z54" i="3"/>
  <c r="Z53" i="3"/>
  <c r="AG57" i="2" s="1"/>
  <c r="D2" i="4"/>
  <c r="I2" i="4" s="1"/>
  <c r="L2" i="4" s="1"/>
  <c r="D50" i="4"/>
  <c r="I50" i="4" s="1"/>
  <c r="L50" i="4" s="1"/>
  <c r="D23" i="4"/>
  <c r="I23" i="4" s="1"/>
  <c r="L23" i="4" s="1"/>
  <c r="D20" i="4"/>
  <c r="I20" i="4" s="1"/>
  <c r="L20" i="4" s="1"/>
  <c r="D11" i="4"/>
  <c r="I11" i="4" s="1"/>
  <c r="D4" i="4"/>
  <c r="I4" i="4" s="1"/>
  <c r="D3" i="4"/>
  <c r="I3" i="4" s="1"/>
  <c r="D45" i="4"/>
  <c r="I45" i="4" s="1"/>
  <c r="S19" i="4"/>
  <c r="S33" i="4"/>
  <c r="T50" i="4"/>
  <c r="J3" i="4"/>
  <c r="S45" i="4"/>
  <c r="D48" i="4"/>
  <c r="I48" i="4" s="1"/>
  <c r="L48" i="4" s="1"/>
  <c r="T10" i="4"/>
  <c r="S13" i="4"/>
  <c r="T24" i="4"/>
  <c r="T38" i="4"/>
  <c r="S47" i="4"/>
  <c r="G29" i="6"/>
  <c r="S40" i="4"/>
  <c r="S16" i="4"/>
  <c r="T27" i="4"/>
  <c r="S30" i="4"/>
  <c r="J36" i="4"/>
  <c r="J39" i="4"/>
  <c r="AP54" i="3"/>
  <c r="S14" i="4"/>
  <c r="S28" i="4"/>
  <c r="T45" i="4"/>
  <c r="G5" i="6"/>
  <c r="G19" i="6"/>
  <c r="G33" i="6"/>
  <c r="G47" i="6"/>
  <c r="G6" i="6"/>
  <c r="G20" i="6"/>
  <c r="G34" i="6"/>
  <c r="G48" i="6"/>
  <c r="G7" i="6"/>
  <c r="G21" i="6"/>
  <c r="G35" i="6"/>
  <c r="G49" i="6"/>
  <c r="AP53" i="3"/>
  <c r="AG168" i="2" s="1"/>
  <c r="G9" i="6"/>
  <c r="G23" i="6"/>
  <c r="G37" i="6"/>
  <c r="G51" i="6"/>
  <c r="G22" i="6"/>
  <c r="G41" i="6"/>
  <c r="G25" i="6"/>
  <c r="G43" i="6"/>
  <c r="G13" i="6"/>
  <c r="G31" i="6"/>
  <c r="AJ8" i="3"/>
  <c r="G14" i="6"/>
  <c r="G32" i="6"/>
  <c r="G45" i="6"/>
  <c r="G17" i="6"/>
  <c r="D6" i="4"/>
  <c r="I6" i="4" s="1"/>
  <c r="L6" i="4" s="1"/>
  <c r="D9" i="4"/>
  <c r="I9" i="4" s="1"/>
  <c r="T17" i="4"/>
  <c r="T51" i="4"/>
  <c r="G44" i="6"/>
  <c r="AO168" i="2" s="1"/>
  <c r="G16" i="6"/>
  <c r="AD53" i="3"/>
  <c r="AG83" i="2" s="1"/>
  <c r="T6" i="4"/>
  <c r="T9" i="4"/>
  <c r="D15" i="4"/>
  <c r="I15" i="4" s="1"/>
  <c r="L15" i="4" s="1"/>
  <c r="T23" i="4"/>
  <c r="T37" i="4"/>
  <c r="S46" i="4"/>
  <c r="D49" i="4"/>
  <c r="I49" i="4" s="1"/>
  <c r="G40" i="6"/>
  <c r="G12" i="6"/>
  <c r="T12" i="4"/>
  <c r="S15" i="4"/>
  <c r="D18" i="4"/>
  <c r="I18" i="4" s="1"/>
  <c r="T26" i="4"/>
  <c r="S29" i="4"/>
  <c r="D32" i="4"/>
  <c r="I32" i="4" s="1"/>
  <c r="T40" i="4"/>
  <c r="S17" i="4"/>
  <c r="S18" i="4"/>
  <c r="D21" i="4"/>
  <c r="I21" i="4" s="1"/>
  <c r="S32" i="4"/>
  <c r="D35" i="4"/>
  <c r="I35" i="4" s="1"/>
  <c r="L35" i="4" s="1"/>
  <c r="T54" i="6"/>
  <c r="T53" i="6"/>
  <c r="S41" i="4"/>
  <c r="W7" i="5"/>
  <c r="W31" i="5"/>
  <c r="M49" i="7"/>
  <c r="Q11" i="6"/>
  <c r="N36" i="7"/>
  <c r="Q23" i="6"/>
  <c r="M48" i="7"/>
  <c r="N42" i="7"/>
  <c r="Q9" i="6"/>
  <c r="V22" i="5"/>
  <c r="W21" i="5"/>
  <c r="R18" i="6"/>
  <c r="N11" i="7"/>
  <c r="R32" i="6"/>
  <c r="W29" i="5"/>
  <c r="W28" i="5"/>
  <c r="W4" i="5"/>
  <c r="R29" i="6"/>
  <c r="Q37" i="6"/>
  <c r="Q51" i="6"/>
  <c r="W40" i="5"/>
  <c r="R30" i="6"/>
  <c r="R8" i="6"/>
  <c r="M21" i="7"/>
  <c r="Q26" i="4"/>
  <c r="Q40" i="4"/>
  <c r="M40" i="7"/>
  <c r="P43" i="4"/>
  <c r="Q31" i="4"/>
  <c r="W37" i="5"/>
  <c r="N18" i="7"/>
  <c r="Q50" i="4"/>
  <c r="V6" i="5"/>
  <c r="Q18" i="4"/>
  <c r="W14" i="5"/>
  <c r="Q29" i="4"/>
  <c r="W25" i="5"/>
  <c r="R6" i="6"/>
  <c r="W12" i="5"/>
  <c r="V13" i="5"/>
  <c r="Q12" i="4"/>
  <c r="Q25" i="6"/>
  <c r="M39" i="7"/>
  <c r="V35" i="5"/>
  <c r="Q37" i="4"/>
  <c r="P25" i="4"/>
  <c r="Q14" i="4"/>
  <c r="W10" i="5"/>
  <c r="R27" i="6"/>
  <c r="Q34" i="6"/>
  <c r="V17" i="5"/>
  <c r="W19" i="5"/>
  <c r="W18" i="5"/>
  <c r="M28" i="7"/>
  <c r="P16" i="4"/>
  <c r="V36" i="5"/>
  <c r="R13" i="6"/>
  <c r="Q34" i="4"/>
  <c r="Q8" i="4"/>
  <c r="P17" i="4"/>
  <c r="M13" i="7"/>
  <c r="Q19" i="4"/>
  <c r="Q9" i="4"/>
  <c r="Q47" i="4"/>
  <c r="R20" i="6"/>
  <c r="M38" i="7"/>
  <c r="P6" i="4"/>
  <c r="V11" i="5"/>
  <c r="V51" i="5"/>
  <c r="V50" i="5"/>
  <c r="N43" i="7"/>
  <c r="P7" i="4"/>
  <c r="N20" i="7"/>
  <c r="Q49" i="4"/>
  <c r="M46" i="7"/>
  <c r="Q21" i="4"/>
  <c r="Q11" i="4"/>
  <c r="W47" i="5"/>
  <c r="R22" i="6"/>
  <c r="N41" i="7"/>
  <c r="R14" i="6"/>
  <c r="V24" i="5"/>
  <c r="Q12" i="6"/>
  <c r="W26" i="5"/>
  <c r="W8" i="5"/>
  <c r="P27" i="4"/>
  <c r="N50" i="7"/>
  <c r="V32" i="5"/>
  <c r="Q43" i="6"/>
  <c r="R47" i="6"/>
  <c r="N47" i="7"/>
  <c r="N34" i="7"/>
  <c r="W49" i="5"/>
  <c r="R16" i="6"/>
  <c r="M45" i="7"/>
  <c r="M2" i="7"/>
  <c r="R42" i="6"/>
  <c r="Q2" i="6"/>
  <c r="P23" i="4"/>
  <c r="W43" i="5"/>
  <c r="V33" i="5"/>
  <c r="W15" i="5"/>
  <c r="N15" i="7"/>
  <c r="Q22" i="4"/>
  <c r="V42" i="5"/>
  <c r="Q4" i="4"/>
  <c r="Q33" i="4"/>
  <c r="Q15" i="6"/>
  <c r="N25" i="7"/>
  <c r="N3" i="7"/>
  <c r="P20" i="4"/>
  <c r="P51" i="4"/>
  <c r="P13" i="4"/>
  <c r="Q10" i="6"/>
  <c r="V20" i="5"/>
  <c r="Q17" i="6"/>
  <c r="Q49" i="6"/>
  <c r="Q24" i="4"/>
  <c r="Q10" i="4"/>
  <c r="P32" i="4"/>
  <c r="W27" i="5"/>
  <c r="R36" i="6"/>
  <c r="R28" i="6"/>
  <c r="R21" i="6"/>
  <c r="Q7" i="6"/>
  <c r="N32" i="7"/>
  <c r="N22" i="7"/>
  <c r="W34" i="5"/>
  <c r="P36" i="4"/>
  <c r="Q35" i="6"/>
  <c r="Q15" i="4"/>
  <c r="P30" i="4"/>
  <c r="R33" i="6"/>
  <c r="R26" i="6"/>
  <c r="R19" i="6"/>
  <c r="R4" i="6"/>
  <c r="N29" i="7"/>
  <c r="R40" i="6"/>
  <c r="N35" i="7"/>
  <c r="Q50" i="6"/>
  <c r="M4" i="7"/>
  <c r="Q28" i="4"/>
  <c r="Q24" i="6"/>
  <c r="W46" i="5"/>
  <c r="Q48" i="6"/>
  <c r="N6" i="7"/>
  <c r="Q31" i="6"/>
  <c r="M51" i="7"/>
  <c r="P42" i="4"/>
  <c r="Q2" i="4"/>
  <c r="N37" i="7"/>
  <c r="V9" i="5"/>
  <c r="M5" i="7"/>
  <c r="V30" i="5"/>
  <c r="V23" i="5"/>
  <c r="V16" i="5"/>
  <c r="M31" i="7"/>
  <c r="Q3" i="4"/>
  <c r="M24" i="7"/>
  <c r="P48" i="4"/>
  <c r="M17" i="7"/>
  <c r="M30" i="7"/>
  <c r="P41" i="4"/>
  <c r="V3" i="5"/>
  <c r="Q41" i="6"/>
  <c r="M16" i="7"/>
  <c r="M12" i="7"/>
  <c r="P46" i="4"/>
  <c r="P39" i="4"/>
  <c r="V39" i="5"/>
  <c r="R46" i="6"/>
  <c r="R39" i="6"/>
  <c r="Q3" i="6"/>
  <c r="N10" i="7"/>
  <c r="M9" i="7"/>
  <c r="Q45" i="4"/>
  <c r="Q38" i="4"/>
  <c r="W2" i="5"/>
  <c r="V45" i="5"/>
  <c r="V38" i="5"/>
  <c r="R45" i="6"/>
  <c r="R38" i="6"/>
  <c r="N23" i="7"/>
  <c r="P5" i="4"/>
  <c r="W5" i="5"/>
  <c r="V41" i="5"/>
  <c r="M19" i="7"/>
  <c r="R5" i="6"/>
  <c r="P35" i="4"/>
  <c r="M8" i="7"/>
  <c r="M27" i="7"/>
  <c r="V48" i="5"/>
  <c r="M33" i="7"/>
  <c r="M26" i="7"/>
  <c r="AT198" i="2" l="1"/>
  <c r="I28" i="7"/>
  <c r="F28" i="8" s="1"/>
  <c r="P25" i="5"/>
  <c r="I45" i="7"/>
  <c r="P20" i="5"/>
  <c r="P46" i="5"/>
  <c r="R46" i="5" s="1"/>
  <c r="D46" i="8" s="1"/>
  <c r="L30" i="4"/>
  <c r="C30" i="8" s="1"/>
  <c r="L46" i="4"/>
  <c r="L7" i="4"/>
  <c r="C7" i="8" s="1"/>
  <c r="P48" i="5"/>
  <c r="R48" i="5" s="1"/>
  <c r="D48" i="8" s="1"/>
  <c r="P36" i="5"/>
  <c r="R36" i="5" s="1"/>
  <c r="D36" i="8" s="1"/>
  <c r="P8" i="5"/>
  <c r="R8" i="5" s="1"/>
  <c r="D8" i="8" s="1"/>
  <c r="P27" i="5"/>
  <c r="R27" i="5" s="1"/>
  <c r="D27" i="8" s="1"/>
  <c r="P10" i="5"/>
  <c r="R10" i="5" s="1"/>
  <c r="L42" i="4"/>
  <c r="C42" i="8" s="1"/>
  <c r="P38" i="5"/>
  <c r="R38" i="5" s="1"/>
  <c r="D38" i="8" s="1"/>
  <c r="P24" i="5"/>
  <c r="R24" i="5" s="1"/>
  <c r="D24" i="8" s="1"/>
  <c r="P14" i="5"/>
  <c r="R14" i="5" s="1"/>
  <c r="D14" i="8" s="1"/>
  <c r="R25" i="5"/>
  <c r="D25" i="8" s="1"/>
  <c r="I25" i="7"/>
  <c r="F25" i="8" s="1"/>
  <c r="I24" i="7"/>
  <c r="I34" i="7"/>
  <c r="P49" i="5"/>
  <c r="R49" i="5" s="1"/>
  <c r="D49" i="8" s="1"/>
  <c r="R18" i="5"/>
  <c r="I46" i="7"/>
  <c r="F46" i="8" s="1"/>
  <c r="I26" i="7"/>
  <c r="F26" i="8" s="1"/>
  <c r="I40" i="7"/>
  <c r="F40" i="8" s="1"/>
  <c r="I22" i="7"/>
  <c r="F22" i="8" s="1"/>
  <c r="I8" i="7"/>
  <c r="F8" i="8" s="1"/>
  <c r="M44" i="7"/>
  <c r="I44" i="7"/>
  <c r="F44" i="8" s="1"/>
  <c r="R4" i="5"/>
  <c r="L32" i="4"/>
  <c r="C32" i="8" s="1"/>
  <c r="N44" i="7"/>
  <c r="L14" i="4"/>
  <c r="C14" i="8" s="1"/>
  <c r="P32" i="5"/>
  <c r="R32" i="5" s="1"/>
  <c r="D32" i="8" s="1"/>
  <c r="L31" i="4"/>
  <c r="C31" i="8" s="1"/>
  <c r="P35" i="5"/>
  <c r="R35" i="5" s="1"/>
  <c r="D35" i="8" s="1"/>
  <c r="L41" i="4"/>
  <c r="C41" i="8" s="1"/>
  <c r="L11" i="4"/>
  <c r="C11" i="8" s="1"/>
  <c r="P16" i="5"/>
  <c r="R16" i="5" s="1"/>
  <c r="D16" i="8" s="1"/>
  <c r="L49" i="4"/>
  <c r="C49" i="8" s="1"/>
  <c r="P13" i="5"/>
  <c r="R13" i="5" s="1"/>
  <c r="D13" i="8" s="1"/>
  <c r="R5" i="5"/>
  <c r="D5" i="8" s="1"/>
  <c r="L38" i="4"/>
  <c r="C38" i="8" s="1"/>
  <c r="L17" i="4"/>
  <c r="C17" i="8" s="1"/>
  <c r="P41" i="5"/>
  <c r="R41" i="5" s="1"/>
  <c r="D41" i="8" s="1"/>
  <c r="P19" i="5"/>
  <c r="R19" i="5" s="1"/>
  <c r="R22" i="5"/>
  <c r="D22" i="8" s="1"/>
  <c r="L39" i="4"/>
  <c r="C39" i="8" s="1"/>
  <c r="P47" i="5"/>
  <c r="R47" i="5" s="1"/>
  <c r="D47" i="8" s="1"/>
  <c r="I18" i="7"/>
  <c r="F18" i="8" s="1"/>
  <c r="I19" i="7"/>
  <c r="F19" i="8" s="1"/>
  <c r="P26" i="5"/>
  <c r="R26" i="5" s="1"/>
  <c r="D26" i="8" s="1"/>
  <c r="P12" i="5"/>
  <c r="R12" i="5" s="1"/>
  <c r="D12" i="8" s="1"/>
  <c r="I5" i="7"/>
  <c r="F5" i="8" s="1"/>
  <c r="P29" i="5"/>
  <c r="R29" i="5" s="1"/>
  <c r="D29" i="8" s="1"/>
  <c r="P9" i="5"/>
  <c r="R9" i="5" s="1"/>
  <c r="D9" i="8" s="1"/>
  <c r="I31" i="7"/>
  <c r="F31" i="8" s="1"/>
  <c r="P51" i="5"/>
  <c r="R51" i="5" s="1"/>
  <c r="D51" i="8" s="1"/>
  <c r="I38" i="7"/>
  <c r="F38" i="8" s="1"/>
  <c r="L45" i="4"/>
  <c r="P39" i="5"/>
  <c r="R39" i="5" s="1"/>
  <c r="D39" i="8" s="1"/>
  <c r="I37" i="7"/>
  <c r="F37" i="8" s="1"/>
  <c r="I15" i="7"/>
  <c r="F15" i="8" s="1"/>
  <c r="P7" i="5"/>
  <c r="R7" i="5" s="1"/>
  <c r="D7" i="8" s="1"/>
  <c r="P15" i="5"/>
  <c r="R15" i="5" s="1"/>
  <c r="D15" i="8" s="1"/>
  <c r="I39" i="7"/>
  <c r="F39" i="8" s="1"/>
  <c r="L12" i="4"/>
  <c r="C12" i="8" s="1"/>
  <c r="I29" i="7"/>
  <c r="F29" i="8" s="1"/>
  <c r="I21" i="7"/>
  <c r="F21" i="8" s="1"/>
  <c r="I27" i="7"/>
  <c r="F27" i="8" s="1"/>
  <c r="L21" i="4"/>
  <c r="C21" i="8" s="1"/>
  <c r="L4" i="4"/>
  <c r="C4" i="8" s="1"/>
  <c r="P44" i="5"/>
  <c r="AT111" i="2" s="1"/>
  <c r="L33" i="4"/>
  <c r="C33" i="8" s="1"/>
  <c r="I23" i="7"/>
  <c r="F23" i="8" s="1"/>
  <c r="P6" i="5"/>
  <c r="R6" i="5" s="1"/>
  <c r="D6" i="8" s="1"/>
  <c r="I32" i="7"/>
  <c r="F32" i="8" s="1"/>
  <c r="P11" i="5"/>
  <c r="R11" i="5" s="1"/>
  <c r="D11" i="8" s="1"/>
  <c r="I48" i="7"/>
  <c r="F48" i="8" s="1"/>
  <c r="F45" i="8"/>
  <c r="D53" i="7"/>
  <c r="G2" i="7"/>
  <c r="D54" i="7"/>
  <c r="I13" i="7"/>
  <c r="R50" i="5"/>
  <c r="D50" i="8" s="1"/>
  <c r="O44" i="5"/>
  <c r="AO107" i="2"/>
  <c r="P45" i="5"/>
  <c r="R45" i="5" s="1"/>
  <c r="D45" i="8" s="1"/>
  <c r="I47" i="7"/>
  <c r="I4" i="7"/>
  <c r="F51" i="8"/>
  <c r="F9" i="8"/>
  <c r="E19" i="6"/>
  <c r="J19" i="6" s="1"/>
  <c r="E35" i="6"/>
  <c r="J35" i="6" s="1"/>
  <c r="E37" i="6"/>
  <c r="J37" i="6" s="1"/>
  <c r="E39" i="6"/>
  <c r="J39" i="6" s="1"/>
  <c r="E31" i="6"/>
  <c r="J31" i="6" s="1"/>
  <c r="E4" i="6"/>
  <c r="J4" i="6" s="1"/>
  <c r="E14" i="6"/>
  <c r="J14" i="6" s="1"/>
  <c r="E51" i="6"/>
  <c r="J51" i="6" s="1"/>
  <c r="E12" i="6"/>
  <c r="J12" i="6" s="1"/>
  <c r="E15" i="6"/>
  <c r="J15" i="6" s="1"/>
  <c r="AJ54" i="3"/>
  <c r="E8" i="6"/>
  <c r="J8" i="6" s="1"/>
  <c r="E33" i="6"/>
  <c r="J33" i="6" s="1"/>
  <c r="E49" i="6"/>
  <c r="J49" i="6" s="1"/>
  <c r="E10" i="6"/>
  <c r="J10" i="6" s="1"/>
  <c r="E45" i="6"/>
  <c r="J45" i="6" s="1"/>
  <c r="E47" i="6"/>
  <c r="J47" i="6" s="1"/>
  <c r="E26" i="6"/>
  <c r="J26" i="6" s="1"/>
  <c r="E29" i="6"/>
  <c r="J29" i="6" s="1"/>
  <c r="E6" i="6"/>
  <c r="J6" i="6" s="1"/>
  <c r="E24" i="6"/>
  <c r="J24" i="6" s="1"/>
  <c r="E20" i="6"/>
  <c r="J20" i="6" s="1"/>
  <c r="E40" i="6"/>
  <c r="J40" i="6" s="1"/>
  <c r="E43" i="6"/>
  <c r="J43" i="6" s="1"/>
  <c r="E46" i="6"/>
  <c r="J46" i="6" s="1"/>
  <c r="E50" i="6"/>
  <c r="J50" i="6" s="1"/>
  <c r="E17" i="6"/>
  <c r="J17" i="6" s="1"/>
  <c r="E13" i="6"/>
  <c r="J13" i="6" s="1"/>
  <c r="E5" i="6"/>
  <c r="J5" i="6" s="1"/>
  <c r="E9" i="6"/>
  <c r="J9" i="6" s="1"/>
  <c r="E27" i="6"/>
  <c r="J27" i="6" s="1"/>
  <c r="E7" i="6"/>
  <c r="J7" i="6" s="1"/>
  <c r="E2" i="6"/>
  <c r="E16" i="6"/>
  <c r="J16" i="6" s="1"/>
  <c r="E48" i="6"/>
  <c r="J48" i="6" s="1"/>
  <c r="E41" i="6"/>
  <c r="J41" i="6" s="1"/>
  <c r="E21" i="6"/>
  <c r="J21" i="6" s="1"/>
  <c r="E28" i="6"/>
  <c r="J28" i="6" s="1"/>
  <c r="E42" i="6"/>
  <c r="J42" i="6" s="1"/>
  <c r="E36" i="6"/>
  <c r="J36" i="6" s="1"/>
  <c r="E23" i="6"/>
  <c r="J23" i="6" s="1"/>
  <c r="E44" i="6"/>
  <c r="E18" i="6"/>
  <c r="J18" i="6" s="1"/>
  <c r="E38" i="6"/>
  <c r="J38" i="6" s="1"/>
  <c r="E32" i="6"/>
  <c r="J32" i="6" s="1"/>
  <c r="E11" i="6"/>
  <c r="J11" i="6" s="1"/>
  <c r="AJ53" i="3"/>
  <c r="AG155" i="2" s="1"/>
  <c r="E30" i="6"/>
  <c r="J30" i="6" s="1"/>
  <c r="E34" i="6"/>
  <c r="J34" i="6" s="1"/>
  <c r="E22" i="6"/>
  <c r="J22" i="6" s="1"/>
  <c r="E25" i="6"/>
  <c r="J25" i="6" s="1"/>
  <c r="I11" i="7"/>
  <c r="I17" i="7"/>
  <c r="C53" i="7"/>
  <c r="F2" i="7"/>
  <c r="L28" i="4"/>
  <c r="C28" i="8" s="1"/>
  <c r="F24" i="8"/>
  <c r="L18" i="4"/>
  <c r="C18" i="8" s="1"/>
  <c r="I43" i="7"/>
  <c r="R2" i="5"/>
  <c r="D2" i="8" s="1"/>
  <c r="P30" i="5"/>
  <c r="R30" i="5" s="1"/>
  <c r="D30" i="8" s="1"/>
  <c r="I16" i="7"/>
  <c r="F20" i="8"/>
  <c r="R20" i="5"/>
  <c r="D20" i="8" s="1"/>
  <c r="I14" i="7"/>
  <c r="C54" i="7"/>
  <c r="L24" i="4"/>
  <c r="C24" i="8" s="1"/>
  <c r="P23" i="5"/>
  <c r="R23" i="5" s="1"/>
  <c r="D23" i="8" s="1"/>
  <c r="P40" i="5"/>
  <c r="R40" i="5" s="1"/>
  <c r="D40" i="8" s="1"/>
  <c r="I30" i="7"/>
  <c r="P28" i="5"/>
  <c r="R28" i="5" s="1"/>
  <c r="D28" i="8" s="1"/>
  <c r="I35" i="7"/>
  <c r="F34" i="8"/>
  <c r="R34" i="5"/>
  <c r="D34" i="8" s="1"/>
  <c r="P43" i="5"/>
  <c r="R43" i="5" s="1"/>
  <c r="P42" i="5"/>
  <c r="R42" i="5" s="1"/>
  <c r="I41" i="7"/>
  <c r="I12" i="7"/>
  <c r="L9" i="4"/>
  <c r="C9" i="8" s="1"/>
  <c r="I3" i="7"/>
  <c r="P37" i="5"/>
  <c r="R37" i="5" s="1"/>
  <c r="D37" i="8" s="1"/>
  <c r="I36" i="7"/>
  <c r="I49" i="7"/>
  <c r="I10" i="7"/>
  <c r="L51" i="4"/>
  <c r="C51" i="8" s="1"/>
  <c r="I6" i="7"/>
  <c r="P31" i="5"/>
  <c r="R31" i="5" s="1"/>
  <c r="D31" i="8" s="1"/>
  <c r="P3" i="5"/>
  <c r="R3" i="5" s="1"/>
  <c r="P17" i="5"/>
  <c r="R17" i="5" s="1"/>
  <c r="D17" i="8" s="1"/>
  <c r="I33" i="7"/>
  <c r="P21" i="5"/>
  <c r="R21" i="5" s="1"/>
  <c r="P33" i="5"/>
  <c r="R33" i="5" s="1"/>
  <c r="D33" i="8" s="1"/>
  <c r="I7" i="7"/>
  <c r="I50" i="7"/>
  <c r="C20" i="8"/>
  <c r="C16" i="8"/>
  <c r="C6" i="8"/>
  <c r="C47" i="8"/>
  <c r="C45" i="8"/>
  <c r="C26" i="8"/>
  <c r="C50" i="8"/>
  <c r="C19" i="8"/>
  <c r="C15" i="8"/>
  <c r="D18" i="8"/>
  <c r="C13" i="8"/>
  <c r="C29" i="8"/>
  <c r="C2" i="8"/>
  <c r="H12" i="6"/>
  <c r="K12" i="6" s="1"/>
  <c r="H26" i="6"/>
  <c r="K26" i="6" s="1"/>
  <c r="H40" i="6"/>
  <c r="K40" i="6" s="1"/>
  <c r="AQ53" i="3"/>
  <c r="AG172" i="2" s="1"/>
  <c r="H13" i="6"/>
  <c r="K13" i="6" s="1"/>
  <c r="M13" i="6" s="1"/>
  <c r="H27" i="6"/>
  <c r="K27" i="6" s="1"/>
  <c r="H41" i="6"/>
  <c r="K41" i="6" s="1"/>
  <c r="H14" i="6"/>
  <c r="K14" i="6" s="1"/>
  <c r="H28" i="6"/>
  <c r="K28" i="6" s="1"/>
  <c r="H42" i="6"/>
  <c r="K42" i="6" s="1"/>
  <c r="H16" i="6"/>
  <c r="K16" i="6" s="1"/>
  <c r="H30" i="6"/>
  <c r="K30" i="6" s="1"/>
  <c r="H44" i="6"/>
  <c r="AO172" i="2" s="1"/>
  <c r="H10" i="6"/>
  <c r="K10" i="6" s="1"/>
  <c r="H32" i="6"/>
  <c r="K32" i="6" s="1"/>
  <c r="H50" i="6"/>
  <c r="K50" i="6" s="1"/>
  <c r="H15" i="6"/>
  <c r="K15" i="6" s="1"/>
  <c r="H34" i="6"/>
  <c r="K34" i="6" s="1"/>
  <c r="H4" i="6"/>
  <c r="K4" i="6" s="1"/>
  <c r="H22" i="6"/>
  <c r="K22" i="6" s="1"/>
  <c r="M22" i="6" s="1"/>
  <c r="H43" i="6"/>
  <c r="K43" i="6" s="1"/>
  <c r="H5" i="6"/>
  <c r="K5" i="6" s="1"/>
  <c r="H23" i="6"/>
  <c r="K23" i="6" s="1"/>
  <c r="H45" i="6"/>
  <c r="K45" i="6" s="1"/>
  <c r="AQ54" i="3"/>
  <c r="H8" i="6"/>
  <c r="K8" i="6" s="1"/>
  <c r="H36" i="6"/>
  <c r="K36" i="6" s="1"/>
  <c r="H2" i="6"/>
  <c r="H9" i="6"/>
  <c r="K9" i="6" s="1"/>
  <c r="H11" i="6"/>
  <c r="K11" i="6" s="1"/>
  <c r="H38" i="6"/>
  <c r="K38" i="6" s="1"/>
  <c r="H17" i="6"/>
  <c r="K17" i="6" s="1"/>
  <c r="H39" i="6"/>
  <c r="K39" i="6" s="1"/>
  <c r="H18" i="6"/>
  <c r="K18" i="6" s="1"/>
  <c r="H46" i="6"/>
  <c r="K46" i="6" s="1"/>
  <c r="H24" i="6"/>
  <c r="K24" i="6" s="1"/>
  <c r="H51" i="6"/>
  <c r="K51" i="6" s="1"/>
  <c r="M51" i="6" s="1"/>
  <c r="H29" i="6"/>
  <c r="K29" i="6" s="1"/>
  <c r="H25" i="6"/>
  <c r="K25" i="6" s="1"/>
  <c r="H49" i="6"/>
  <c r="K49" i="6" s="1"/>
  <c r="H6" i="6"/>
  <c r="K6" i="6" s="1"/>
  <c r="H7" i="6"/>
  <c r="K7" i="6" s="1"/>
  <c r="M7" i="6" s="1"/>
  <c r="H19" i="6"/>
  <c r="K19" i="6" s="1"/>
  <c r="H31" i="6"/>
  <c r="K31" i="6" s="1"/>
  <c r="H33" i="6"/>
  <c r="K33" i="6" s="1"/>
  <c r="H47" i="6"/>
  <c r="K47" i="6" s="1"/>
  <c r="H35" i="6"/>
  <c r="K35" i="6" s="1"/>
  <c r="H37" i="6"/>
  <c r="K37" i="6" s="1"/>
  <c r="M37" i="6" s="1"/>
  <c r="H48" i="6"/>
  <c r="K48" i="6" s="1"/>
  <c r="H20" i="6"/>
  <c r="K20" i="6" s="1"/>
  <c r="M20" i="6" s="1"/>
  <c r="H21" i="6"/>
  <c r="K21" i="6" s="1"/>
  <c r="C46" i="8"/>
  <c r="C48" i="8"/>
  <c r="C40" i="8"/>
  <c r="C10" i="8"/>
  <c r="D4" i="8"/>
  <c r="C35" i="8"/>
  <c r="L3" i="4"/>
  <c r="C37" i="8"/>
  <c r="L36" i="4"/>
  <c r="G53" i="6"/>
  <c r="C27" i="8"/>
  <c r="C34" i="8"/>
  <c r="L8" i="4"/>
  <c r="D19" i="8"/>
  <c r="C25" i="8"/>
  <c r="C23" i="8"/>
  <c r="Q44" i="4"/>
  <c r="G54" i="6"/>
  <c r="C22" i="8"/>
  <c r="I44" i="4"/>
  <c r="C5" i="8"/>
  <c r="M25" i="6" l="1"/>
  <c r="E25" i="8" s="1"/>
  <c r="G25" i="8" s="1"/>
  <c r="M42" i="6"/>
  <c r="M41" i="6"/>
  <c r="M36" i="6"/>
  <c r="E36" i="8" s="1"/>
  <c r="W44" i="5"/>
  <c r="M17" i="6"/>
  <c r="M5" i="6"/>
  <c r="E5" i="8" s="1"/>
  <c r="G5" i="8" s="1"/>
  <c r="M47" i="6"/>
  <c r="E47" i="8" s="1"/>
  <c r="M46" i="6"/>
  <c r="M15" i="6"/>
  <c r="E15" i="8" s="1"/>
  <c r="G15" i="8" s="1"/>
  <c r="M40" i="6"/>
  <c r="E40" i="8" s="1"/>
  <c r="G40" i="8" s="1"/>
  <c r="M6" i="6"/>
  <c r="E6" i="8" s="1"/>
  <c r="M29" i="6"/>
  <c r="E29" i="8" s="1"/>
  <c r="G29" i="8" s="1"/>
  <c r="M16" i="6"/>
  <c r="E16" i="8" s="1"/>
  <c r="M24" i="6"/>
  <c r="M27" i="6"/>
  <c r="M33" i="6"/>
  <c r="E33" i="8" s="1"/>
  <c r="M39" i="6"/>
  <c r="E39" i="8" s="1"/>
  <c r="G39" i="8" s="1"/>
  <c r="M14" i="6"/>
  <c r="E14" i="8" s="1"/>
  <c r="M38" i="6"/>
  <c r="E38" i="8" s="1"/>
  <c r="G38" i="8" s="1"/>
  <c r="M31" i="6"/>
  <c r="E31" i="8" s="1"/>
  <c r="G31" i="8" s="1"/>
  <c r="M11" i="6"/>
  <c r="E11" i="8" s="1"/>
  <c r="M50" i="6"/>
  <c r="E50" i="8" s="1"/>
  <c r="M26" i="6"/>
  <c r="E26" i="8" s="1"/>
  <c r="G26" i="8" s="1"/>
  <c r="M32" i="6"/>
  <c r="E32" i="8" s="1"/>
  <c r="G32" i="8" s="1"/>
  <c r="M12" i="6"/>
  <c r="E12" i="8" s="1"/>
  <c r="D3" i="8"/>
  <c r="D43" i="8"/>
  <c r="D21" i="8"/>
  <c r="D42" i="8"/>
  <c r="F41" i="8"/>
  <c r="M19" i="6"/>
  <c r="E19" i="8" s="1"/>
  <c r="G19" i="8" s="1"/>
  <c r="F17" i="8"/>
  <c r="F13" i="8"/>
  <c r="F10" i="8"/>
  <c r="F16" i="8"/>
  <c r="F11" i="8"/>
  <c r="M49" i="6"/>
  <c r="E49" i="8" s="1"/>
  <c r="M8" i="6"/>
  <c r="E8" i="8" s="1"/>
  <c r="M30" i="6"/>
  <c r="E30" i="8" s="1"/>
  <c r="F49" i="8"/>
  <c r="V44" i="5"/>
  <c r="R44" i="5"/>
  <c r="D44" i="8" s="1"/>
  <c r="AT98" i="2"/>
  <c r="AO155" i="2"/>
  <c r="J44" i="6"/>
  <c r="M45" i="6"/>
  <c r="E45" i="8" s="1"/>
  <c r="G45" i="8" s="1"/>
  <c r="F43" i="8"/>
  <c r="M21" i="6"/>
  <c r="E21" i="8" s="1"/>
  <c r="M23" i="6"/>
  <c r="E23" i="8" s="1"/>
  <c r="G23" i="8" s="1"/>
  <c r="M28" i="6"/>
  <c r="E28" i="8" s="1"/>
  <c r="G28" i="8" s="1"/>
  <c r="F50" i="8"/>
  <c r="F3" i="8"/>
  <c r="F35" i="8"/>
  <c r="G54" i="7"/>
  <c r="G56" i="7"/>
  <c r="G53" i="7"/>
  <c r="G57" i="7"/>
  <c r="F54" i="7"/>
  <c r="F53" i="7"/>
  <c r="F56" i="7"/>
  <c r="I2" i="7"/>
  <c r="J13" i="7" s="1"/>
  <c r="F57" i="7"/>
  <c r="M9" i="6"/>
  <c r="E9" i="8" s="1"/>
  <c r="G9" i="8" s="1"/>
  <c r="F6" i="8"/>
  <c r="M10" i="6"/>
  <c r="E10" i="8" s="1"/>
  <c r="F36" i="8"/>
  <c r="F7" i="8"/>
  <c r="F14" i="8"/>
  <c r="M43" i="6"/>
  <c r="E43" i="8" s="1"/>
  <c r="M48" i="6"/>
  <c r="E48" i="8" s="1"/>
  <c r="G48" i="8" s="1"/>
  <c r="M35" i="6"/>
  <c r="E35" i="8" s="1"/>
  <c r="F4" i="8"/>
  <c r="M18" i="6"/>
  <c r="E18" i="8" s="1"/>
  <c r="G18" i="8" s="1"/>
  <c r="J2" i="6"/>
  <c r="E53" i="6"/>
  <c r="E54" i="6"/>
  <c r="F47" i="8"/>
  <c r="M4" i="6"/>
  <c r="E4" i="8" s="1"/>
  <c r="F33" i="8"/>
  <c r="F30" i="8"/>
  <c r="M34" i="6"/>
  <c r="E34" i="8" s="1"/>
  <c r="G34" i="8" s="1"/>
  <c r="F12" i="8"/>
  <c r="H53" i="6"/>
  <c r="H54" i="6"/>
  <c r="K2" i="6"/>
  <c r="E37" i="8"/>
  <c r="G37" i="8" s="1"/>
  <c r="E22" i="8"/>
  <c r="G22" i="8" s="1"/>
  <c r="E7" i="8"/>
  <c r="L44" i="4"/>
  <c r="M35" i="4" s="1"/>
  <c r="AT48" i="2"/>
  <c r="P44" i="4"/>
  <c r="C3" i="8"/>
  <c r="E51" i="8"/>
  <c r="G51" i="8" s="1"/>
  <c r="E41" i="8"/>
  <c r="C36" i="8"/>
  <c r="E24" i="8"/>
  <c r="G24" i="8" s="1"/>
  <c r="E27" i="8"/>
  <c r="G27" i="8" s="1"/>
  <c r="C8" i="8"/>
  <c r="E42" i="8"/>
  <c r="E20" i="8"/>
  <c r="G20" i="8" s="1"/>
  <c r="E46" i="8"/>
  <c r="G46" i="8" s="1"/>
  <c r="E17" i="8"/>
  <c r="D10" i="8"/>
  <c r="K44" i="6"/>
  <c r="E13" i="8"/>
  <c r="G6" i="8" l="1"/>
  <c r="J6" i="7"/>
  <c r="J50" i="7"/>
  <c r="G35" i="8"/>
  <c r="G12" i="8"/>
  <c r="G11" i="8"/>
  <c r="G47" i="8"/>
  <c r="J30" i="7"/>
  <c r="G14" i="8"/>
  <c r="J33" i="7"/>
  <c r="J35" i="7"/>
  <c r="G17" i="8"/>
  <c r="G4" i="8"/>
  <c r="J3" i="7"/>
  <c r="J49" i="7"/>
  <c r="G49" i="8"/>
  <c r="J4" i="7"/>
  <c r="G16" i="8"/>
  <c r="G50" i="8"/>
  <c r="S20" i="5"/>
  <c r="J12" i="7"/>
  <c r="J10" i="7"/>
  <c r="S28" i="5"/>
  <c r="S23" i="5"/>
  <c r="G7" i="8"/>
  <c r="G43" i="8"/>
  <c r="S33" i="5"/>
  <c r="S38" i="5"/>
  <c r="G10" i="8"/>
  <c r="G33" i="8"/>
  <c r="S42" i="5"/>
  <c r="G13" i="8"/>
  <c r="S14" i="5"/>
  <c r="S21" i="5"/>
  <c r="M36" i="4"/>
  <c r="G41" i="8"/>
  <c r="G42" i="8"/>
  <c r="S47" i="5"/>
  <c r="G21" i="8"/>
  <c r="J16" i="7"/>
  <c r="S46" i="5"/>
  <c r="S43" i="5"/>
  <c r="S32" i="5"/>
  <c r="S6" i="5"/>
  <c r="S4" i="5"/>
  <c r="S7" i="5"/>
  <c r="S8" i="5"/>
  <c r="S25" i="5"/>
  <c r="S41" i="5"/>
  <c r="S12" i="5"/>
  <c r="J47" i="7"/>
  <c r="AT142" i="2"/>
  <c r="Q44" i="6"/>
  <c r="S30" i="5"/>
  <c r="S9" i="5"/>
  <c r="S22" i="5"/>
  <c r="J40" i="7"/>
  <c r="J27" i="7"/>
  <c r="J42" i="7"/>
  <c r="J5" i="7"/>
  <c r="J18" i="7"/>
  <c r="J19" i="7"/>
  <c r="J39" i="7"/>
  <c r="J45" i="7"/>
  <c r="J46" i="7"/>
  <c r="J38" i="7"/>
  <c r="J2" i="7"/>
  <c r="J21" i="7"/>
  <c r="F2" i="8"/>
  <c r="I53" i="7"/>
  <c r="J24" i="7"/>
  <c r="J26" i="7"/>
  <c r="I54" i="7"/>
  <c r="J28" i="7"/>
  <c r="J9" i="7"/>
  <c r="J51" i="7"/>
  <c r="J8" i="7"/>
  <c r="J23" i="7"/>
  <c r="J25" i="7"/>
  <c r="J32" i="7"/>
  <c r="J29" i="7"/>
  <c r="J44" i="7"/>
  <c r="J22" i="7"/>
  <c r="J37" i="7"/>
  <c r="J34" i="7"/>
  <c r="J31" i="7"/>
  <c r="J48" i="7"/>
  <c r="J15" i="7"/>
  <c r="J20" i="7"/>
  <c r="S37" i="5"/>
  <c r="S13" i="5"/>
  <c r="M12" i="4"/>
  <c r="M9" i="4"/>
  <c r="S3" i="5"/>
  <c r="S19" i="5"/>
  <c r="J14" i="7"/>
  <c r="S34" i="5"/>
  <c r="S29" i="5"/>
  <c r="S40" i="5"/>
  <c r="S36" i="5"/>
  <c r="M26" i="4"/>
  <c r="G3" i="8"/>
  <c r="S18" i="5"/>
  <c r="J43" i="7"/>
  <c r="S39" i="5"/>
  <c r="S16" i="5"/>
  <c r="S10" i="5"/>
  <c r="S49" i="5"/>
  <c r="S2" i="5"/>
  <c r="J57" i="6"/>
  <c r="J54" i="6"/>
  <c r="J56" i="6"/>
  <c r="J53" i="6"/>
  <c r="S31" i="5"/>
  <c r="S26" i="5"/>
  <c r="J11" i="7"/>
  <c r="J41" i="7"/>
  <c r="S15" i="5"/>
  <c r="S24" i="5"/>
  <c r="G30" i="8"/>
  <c r="G36" i="8"/>
  <c r="M37" i="4"/>
  <c r="S45" i="5"/>
  <c r="S51" i="5"/>
  <c r="J17" i="7"/>
  <c r="S44" i="5"/>
  <c r="BR119" i="2" s="1"/>
  <c r="S17" i="5"/>
  <c r="J7" i="7"/>
  <c r="S11" i="5"/>
  <c r="S27" i="5"/>
  <c r="M28" i="4"/>
  <c r="S35" i="5"/>
  <c r="S5" i="5"/>
  <c r="S50" i="5"/>
  <c r="J36" i="7"/>
  <c r="S48" i="5"/>
  <c r="M41" i="4"/>
  <c r="M11" i="4"/>
  <c r="M23" i="4"/>
  <c r="M15" i="4"/>
  <c r="M43" i="4"/>
  <c r="M51" i="4"/>
  <c r="M49" i="4"/>
  <c r="M14" i="4"/>
  <c r="M33" i="4"/>
  <c r="M42" i="4"/>
  <c r="M32" i="4"/>
  <c r="M10" i="4"/>
  <c r="M7" i="4"/>
  <c r="M4" i="4"/>
  <c r="M39" i="4"/>
  <c r="M3" i="4"/>
  <c r="M27" i="4"/>
  <c r="M13" i="4"/>
  <c r="M48" i="4"/>
  <c r="M2" i="4"/>
  <c r="M21" i="4"/>
  <c r="M6" i="4"/>
  <c r="M8" i="4"/>
  <c r="M40" i="4"/>
  <c r="C44" i="8"/>
  <c r="M44" i="4"/>
  <c r="BR73" i="2" s="1"/>
  <c r="M34" i="4"/>
  <c r="M20" i="4"/>
  <c r="M45" i="4"/>
  <c r="M22" i="4"/>
  <c r="M50" i="4"/>
  <c r="M18" i="4"/>
  <c r="M30" i="4"/>
  <c r="AT159" i="2"/>
  <c r="R44" i="6"/>
  <c r="M44" i="6"/>
  <c r="G8" i="8"/>
  <c r="M31" i="4"/>
  <c r="M24" i="4"/>
  <c r="K54" i="6"/>
  <c r="K56" i="6"/>
  <c r="K57" i="6"/>
  <c r="K53" i="6"/>
  <c r="M2" i="6"/>
  <c r="M19" i="4"/>
  <c r="M16" i="4"/>
  <c r="M47" i="4"/>
  <c r="M29" i="4"/>
  <c r="M38" i="4"/>
  <c r="M25" i="4"/>
  <c r="M5" i="4"/>
  <c r="M46" i="4"/>
  <c r="M17" i="4"/>
  <c r="BR220" i="2" l="1"/>
  <c r="J54" i="7"/>
  <c r="J53" i="7"/>
  <c r="E44" i="8"/>
  <c r="G44" i="8" s="1"/>
  <c r="N44" i="6"/>
  <c r="BR171" i="2" s="1"/>
  <c r="M53" i="6"/>
  <c r="E2" i="8"/>
  <c r="G2" i="8" s="1"/>
  <c r="M54" i="6"/>
  <c r="N2" i="6"/>
  <c r="N12" i="6"/>
  <c r="N47" i="6"/>
  <c r="N34" i="6"/>
  <c r="N40" i="6"/>
  <c r="N45" i="6"/>
  <c r="N8" i="6"/>
  <c r="N7" i="6"/>
  <c r="N27" i="6"/>
  <c r="N21" i="6"/>
  <c r="N49" i="6"/>
  <c r="N24" i="6"/>
  <c r="N50" i="6"/>
  <c r="N13" i="6"/>
  <c r="N43" i="6"/>
  <c r="N48" i="6"/>
  <c r="N33" i="6"/>
  <c r="N36" i="6"/>
  <c r="N39" i="6"/>
  <c r="N46" i="6"/>
  <c r="N31" i="6"/>
  <c r="N30" i="6"/>
  <c r="N41" i="6"/>
  <c r="N4" i="6"/>
  <c r="N14" i="6"/>
  <c r="N35" i="6"/>
  <c r="N28" i="6"/>
  <c r="N16" i="6"/>
  <c r="N51" i="6"/>
  <c r="N18" i="6"/>
  <c r="N20" i="6"/>
  <c r="N23" i="6"/>
  <c r="N6" i="6"/>
  <c r="N38" i="6"/>
  <c r="N19" i="6"/>
  <c r="N10" i="6"/>
  <c r="N11" i="6"/>
  <c r="N15" i="6"/>
  <c r="N29" i="6"/>
  <c r="N42" i="6"/>
  <c r="N32" i="6"/>
  <c r="N26" i="6"/>
  <c r="N17" i="6"/>
  <c r="N37" i="6"/>
  <c r="N9" i="6"/>
  <c r="N22" i="6"/>
  <c r="N5" i="6"/>
  <c r="N25" i="6"/>
  <c r="A2" i="8" l="1"/>
  <c r="A48" i="8"/>
  <c r="A9" i="8"/>
  <c r="A24" i="8"/>
  <c r="A47" i="8"/>
  <c r="A40" i="8"/>
  <c r="A32" i="8"/>
  <c r="A6" i="8"/>
  <c r="A18" i="8"/>
  <c r="A16" i="8"/>
  <c r="A7" i="8"/>
  <c r="A51" i="8"/>
  <c r="A29" i="8"/>
  <c r="A28" i="8"/>
  <c r="A31" i="8"/>
  <c r="A34" i="8"/>
  <c r="A11" i="8"/>
  <c r="A37" i="8"/>
  <c r="A22" i="8"/>
  <c r="A46" i="8"/>
  <c r="A39" i="8"/>
  <c r="A21" i="8"/>
  <c r="A17" i="8"/>
  <c r="A14" i="8"/>
  <c r="A35" i="8"/>
  <c r="A23" i="8"/>
  <c r="A19" i="8"/>
  <c r="A43" i="8"/>
  <c r="A4" i="8"/>
  <c r="A5" i="8"/>
  <c r="A50" i="8"/>
  <c r="A12" i="8"/>
  <c r="A42" i="8"/>
  <c r="A10" i="8"/>
  <c r="A20" i="8"/>
  <c r="A15" i="8"/>
  <c r="A33" i="8"/>
  <c r="A25" i="8"/>
  <c r="A49" i="8"/>
  <c r="A27" i="8"/>
  <c r="A45" i="8"/>
  <c r="A26" i="8"/>
  <c r="A13" i="8"/>
  <c r="A41" i="8"/>
  <c r="A38" i="8"/>
  <c r="A3" i="8"/>
  <c r="A8" i="8"/>
  <c r="A44" i="8"/>
  <c r="A30" i="8"/>
  <c r="A36" i="8"/>
  <c r="N54" i="6"/>
  <c r="N53" i="6"/>
  <c r="A16" i="9" l="1" a="1"/>
  <c r="A16" i="9" s="1"/>
  <c r="E44" i="12" l="1"/>
  <c r="E23" i="12"/>
  <c r="AD44" i="12"/>
  <c r="AD23" i="12"/>
  <c r="T23" i="12"/>
  <c r="T44" i="12"/>
  <c r="AP23" i="12"/>
  <c r="AP44" i="12"/>
  <c r="AR44" i="12"/>
  <c r="AR23" i="12"/>
  <c r="F23" i="12"/>
  <c r="F44" i="12"/>
  <c r="M23" i="12"/>
  <c r="M44" i="12"/>
  <c r="R44" i="12"/>
  <c r="R23" i="12"/>
  <c r="K44" i="12"/>
  <c r="K23" i="12"/>
  <c r="H23" i="12"/>
  <c r="H44" i="12"/>
  <c r="L44" i="12"/>
  <c r="L23" i="12"/>
  <c r="AC44" i="12"/>
  <c r="AC23" i="12"/>
  <c r="AI23" i="12"/>
  <c r="AI44" i="12"/>
  <c r="AJ23" i="12"/>
  <c r="AJ44" i="12"/>
  <c r="P23" i="12"/>
  <c r="P44" i="12"/>
  <c r="AS23" i="12"/>
  <c r="AS44" i="12"/>
  <c r="R46" i="12"/>
  <c r="O44" i="12"/>
  <c r="AT44" i="12"/>
  <c r="AT23" i="12"/>
  <c r="AV23" i="12"/>
  <c r="AV44" i="12"/>
  <c r="G23" i="12"/>
  <c r="G44" i="12"/>
  <c r="AE44" i="12"/>
  <c r="AE23" i="12"/>
  <c r="AN44" i="12"/>
  <c r="AN23" i="12"/>
  <c r="AU23" i="12"/>
  <c r="AU44" i="12"/>
  <c r="AQ44" i="12"/>
  <c r="AQ23" i="12"/>
  <c r="Y44" i="12"/>
  <c r="Y23" i="12"/>
  <c r="U44" i="12"/>
  <c r="U23" i="12"/>
  <c r="O23" i="12"/>
  <c r="R24" i="12"/>
  <c r="Q44" i="12"/>
  <c r="Q23" i="12"/>
  <c r="AM44" i="12"/>
  <c r="AM23" i="12"/>
  <c r="W23" i="12"/>
  <c r="W44" i="12"/>
  <c r="AL44" i="12"/>
  <c r="AL23" i="12"/>
  <c r="N23" i="12"/>
  <c r="N44" i="12"/>
  <c r="AO44" i="12"/>
  <c r="AO23" i="12"/>
  <c r="J23" i="12"/>
  <c r="J44" i="12"/>
  <c r="I23" i="12"/>
  <c r="I44" i="12"/>
  <c r="AK23" i="12"/>
  <c r="AK44" i="12"/>
  <c r="S23" i="12"/>
  <c r="S44" i="12"/>
  <c r="AH44" i="12"/>
  <c r="AH23" i="12"/>
  <c r="AB44" i="12"/>
  <c r="AB23" i="12"/>
  <c r="X44" i="12"/>
  <c r="X23" i="12"/>
  <c r="AG44" i="12"/>
  <c r="AG23" i="12"/>
  <c r="AF44" i="12"/>
  <c r="AF23" i="12"/>
  <c r="AA44" i="12"/>
  <c r="AA23" i="12"/>
  <c r="Z44" i="12"/>
  <c r="Z23" i="12"/>
  <c r="V44" i="12"/>
  <c r="V23"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V1" authorId="0" shapeId="0" xr:uid="{B1FB94BC-6EA7-46F0-87F1-C003DFB7E775}">
      <text>
        <r>
          <rPr>
            <sz val="10"/>
            <color rgb="FF000000"/>
            <rFont val="Aptos Narrow"/>
            <family val="2"/>
            <scheme val="minor"/>
          </rPr>
          <t>Use most recent year, or an average of the last three most recent years to define institutional grad rates
	-Cameron Childress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<sst xmlns="http://schemas.openxmlformats.org/spreadsheetml/2006/main" count="4591" uniqueCount="829">
  <si>
    <t>Strand 1: Opportunity to improve the state economy</t>
  </si>
  <si>
    <t>Strand 2: Opportunity to improve credential attainment</t>
  </si>
  <si>
    <t>California</t>
  </si>
  <si>
    <t>National Avg</t>
  </si>
  <si>
    <t>National Rank</t>
  </si>
  <si>
    <t>Strand composite score</t>
  </si>
  <si>
    <t>Select State</t>
  </si>
  <si>
    <t>Strand 1: Opportunity to optimize appropriations spending</t>
  </si>
  <si>
    <t>Strand 2: Opportunity to optimize financial aid investments</t>
  </si>
  <si>
    <t>Strand 1: Opportunity to reverse enrollment decline</t>
  </si>
  <si>
    <t>Strand 2: Opportunity to improve retention and graduation rates</t>
  </si>
  <si>
    <t>Strand 1: Opportunity for Continued Engagement</t>
  </si>
  <si>
    <t>Strand 2: Opportunity to leverage existing policies and initiatives</t>
  </si>
  <si>
    <t>Outcomes-based funding policy for 2-year publics</t>
  </si>
  <si>
    <t># of states</t>
  </si>
  <si>
    <t>Case 1: Improve Economic Opportunity and Workforce Alignment</t>
  </si>
  <si>
    <t>Case 2: Optimize Higher Education Appropriations and Financial Aid</t>
  </si>
  <si>
    <t>Case 3: Boost Enrollment and Performance</t>
  </si>
  <si>
    <t>Case 4: Take Advantage of Policy and Governance Readiness</t>
  </si>
  <si>
    <t>Rank</t>
  </si>
  <si>
    <t>State</t>
  </si>
  <si>
    <t>State rankings</t>
  </si>
  <si>
    <t>FIPS</t>
  </si>
  <si>
    <t>Need-based aid (2023)</t>
  </si>
  <si>
    <t>Non-need based aid (2023)</t>
  </si>
  <si>
    <t>Non-grant aid (2023)</t>
  </si>
  <si>
    <t>Total State Aid</t>
  </si>
  <si>
    <t>Total State and Local Support Excluding Federal Stimulus 2023</t>
  </si>
  <si>
    <t>Gross FTE Enrollment 2023</t>
  </si>
  <si>
    <t>Public high school graduates, 2022-23</t>
  </si>
  <si>
    <t>State Support per FTE 2023</t>
  </si>
  <si>
    <t>Support Per $1,000 in Personal Income 2022</t>
  </si>
  <si>
    <t>Need Based Aid Ratio</t>
  </si>
  <si>
    <t xml:space="preserve">Total State financial aid spending per high school graduate </t>
  </si>
  <si>
    <t>Associate Degree Premium (Over HS)</t>
  </si>
  <si>
    <t>High-Opp Job Openings per 1,000 working age residents</t>
  </si>
  <si>
    <t>2023 Annual Unemployment Rate</t>
  </si>
  <si>
    <t>2023 Attainment of Associate's Degree or Higher (25 - 64 year olds)</t>
  </si>
  <si>
    <t>Graduation rate cohort size, public 2-yrs</t>
  </si>
  <si>
    <t>Retention rate cohort size (Full-time), public 2-yrs</t>
  </si>
  <si>
    <t>Retention rate cohort size (Part-time), public 2-yrs</t>
  </si>
  <si>
    <t>Existing partner and/or SHEEO?</t>
  </si>
  <si>
    <t>Inquiry/discussion with CUNY ASAP Rep Team (date of last contact)</t>
  </si>
  <si>
    <t>Inquiry/discussion type (state org/intermediary, institutional leadership, researcher, faculty, etc.)</t>
  </si>
  <si>
    <t>Performance-based funding -- 2yr?</t>
  </si>
  <si>
    <t>Performance-based funding -- 4yr?</t>
  </si>
  <si>
    <t>Statewide tuition-free community college program in operation?</t>
  </si>
  <si>
    <t>Statewide guaranteed transfer of an associate degree?</t>
  </si>
  <si>
    <t>Opportunity for continued engagement</t>
  </si>
  <si>
    <t>Opportunity to leverage existing policies and initiatives</t>
  </si>
  <si>
    <t>Alabama</t>
  </si>
  <si>
    <t>AL</t>
  </si>
  <si>
    <t>Neither</t>
  </si>
  <si>
    <t>No</t>
  </si>
  <si>
    <t>Alaska</t>
  </si>
  <si>
    <t>AK</t>
  </si>
  <si>
    <t>Arizona</t>
  </si>
  <si>
    <t>AZ</t>
  </si>
  <si>
    <t>Spring 2019</t>
  </si>
  <si>
    <t>College faculty/staff</t>
  </si>
  <si>
    <t>Yes</t>
  </si>
  <si>
    <t>Arkansas</t>
  </si>
  <si>
    <t>AR</t>
  </si>
  <si>
    <t>CA</t>
  </si>
  <si>
    <t>Existing Partner</t>
  </si>
  <si>
    <t>Fall 2023</t>
  </si>
  <si>
    <t>System leadership; College leadership (various)</t>
  </si>
  <si>
    <t>Colorado</t>
  </si>
  <si>
    <t>CO</t>
  </si>
  <si>
    <t>SHEEO</t>
  </si>
  <si>
    <t>CC System; State Higher Ed Dept; Advocacy Orgs</t>
  </si>
  <si>
    <t>Connecticut</t>
  </si>
  <si>
    <t>CT</t>
  </si>
  <si>
    <t>Delaware</t>
  </si>
  <si>
    <t>DE</t>
  </si>
  <si>
    <t>Florida</t>
  </si>
  <si>
    <t>FL</t>
  </si>
  <si>
    <t>Georgia</t>
  </si>
  <si>
    <t>GA</t>
  </si>
  <si>
    <t>Summer 2024</t>
  </si>
  <si>
    <t>Institution</t>
  </si>
  <si>
    <t>Hawaii</t>
  </si>
  <si>
    <t>HI</t>
  </si>
  <si>
    <t>Idaho</t>
  </si>
  <si>
    <t>ID</t>
  </si>
  <si>
    <t>Illinois</t>
  </si>
  <si>
    <t>IL</t>
  </si>
  <si>
    <t>Indiana</t>
  </si>
  <si>
    <t>IN</t>
  </si>
  <si>
    <t>CC System; Advocacy Org</t>
  </si>
  <si>
    <t>Iowa</t>
  </si>
  <si>
    <t>IA</t>
  </si>
  <si>
    <t>Kansas</t>
  </si>
  <si>
    <t>KS</t>
  </si>
  <si>
    <t>Kentucky</t>
  </si>
  <si>
    <t>KY</t>
  </si>
  <si>
    <t>Louisiana</t>
  </si>
  <si>
    <t>LA</t>
  </si>
  <si>
    <t>Maine</t>
  </si>
  <si>
    <t>ME</t>
  </si>
  <si>
    <t>Maryland</t>
  </si>
  <si>
    <t>MD</t>
  </si>
  <si>
    <t>Fall 2024</t>
  </si>
  <si>
    <t>Intermediary; College leadership</t>
  </si>
  <si>
    <t>Massachusetts</t>
  </si>
  <si>
    <t>MA</t>
  </si>
  <si>
    <t>State org/intermediary; advocacy org</t>
  </si>
  <si>
    <t>Michigan</t>
  </si>
  <si>
    <t>MI</t>
  </si>
  <si>
    <t>Gov't agency; Association; Advocacy orgs</t>
  </si>
  <si>
    <t>Minnesota</t>
  </si>
  <si>
    <t>MN</t>
  </si>
  <si>
    <t>Mississippi</t>
  </si>
  <si>
    <t>MS</t>
  </si>
  <si>
    <t>Missouri</t>
  </si>
  <si>
    <t>MO</t>
  </si>
  <si>
    <t>Montana</t>
  </si>
  <si>
    <t>MT</t>
  </si>
  <si>
    <t>System leadership</t>
  </si>
  <si>
    <t>Nebraska</t>
  </si>
  <si>
    <t>NE</t>
  </si>
  <si>
    <t>Nevada</t>
  </si>
  <si>
    <t>NV</t>
  </si>
  <si>
    <t>New Hampshire</t>
  </si>
  <si>
    <t>NH</t>
  </si>
  <si>
    <t>New Jersey</t>
  </si>
  <si>
    <t>NJ</t>
  </si>
  <si>
    <t>State org/intermediary</t>
  </si>
  <si>
    <t>New Mexico</t>
  </si>
  <si>
    <t>NM</t>
  </si>
  <si>
    <t>New York</t>
  </si>
  <si>
    <t>NY</t>
  </si>
  <si>
    <t>Ongoing</t>
  </si>
  <si>
    <t>State/Gov; City/Gov; CUNY and SUNY Systems</t>
  </si>
  <si>
    <t>North Carolina</t>
  </si>
  <si>
    <t>NC</t>
  </si>
  <si>
    <t>Both</t>
  </si>
  <si>
    <t>North Dakota</t>
  </si>
  <si>
    <t>ND</t>
  </si>
  <si>
    <t>Ohio</t>
  </si>
  <si>
    <t>OH</t>
  </si>
  <si>
    <t>College leadership; advocacy org</t>
  </si>
  <si>
    <t>Oklahoma</t>
  </si>
  <si>
    <t>OK</t>
  </si>
  <si>
    <t>Oregon</t>
  </si>
  <si>
    <t>OR</t>
  </si>
  <si>
    <t>Pennsylvania</t>
  </si>
  <si>
    <t>PA</t>
  </si>
  <si>
    <t>Rhode Island</t>
  </si>
  <si>
    <t>RI</t>
  </si>
  <si>
    <t>South Carolina</t>
  </si>
  <si>
    <t>SC</t>
  </si>
  <si>
    <t>Community College System</t>
  </si>
  <si>
    <t>South Dakota</t>
  </si>
  <si>
    <t>SD</t>
  </si>
  <si>
    <t>Tennessee</t>
  </si>
  <si>
    <t>TN</t>
  </si>
  <si>
    <t>Researchers; advocacy org; state org</t>
  </si>
  <si>
    <t>Texas</t>
  </si>
  <si>
    <t>TX</t>
  </si>
  <si>
    <t>Funders</t>
  </si>
  <si>
    <t>Utah</t>
  </si>
  <si>
    <t>UT</t>
  </si>
  <si>
    <t>Vermont</t>
  </si>
  <si>
    <t>VT</t>
  </si>
  <si>
    <t>Virginia</t>
  </si>
  <si>
    <t>VA</t>
  </si>
  <si>
    <t>Washington</t>
  </si>
  <si>
    <t>WA</t>
  </si>
  <si>
    <t>Govt' agencies; College leadership</t>
  </si>
  <si>
    <t>West Virginia</t>
  </si>
  <si>
    <t>WV</t>
  </si>
  <si>
    <t>Gov't agency; Researchers</t>
  </si>
  <si>
    <t>Wisconsin</t>
  </si>
  <si>
    <t>WI</t>
  </si>
  <si>
    <t>Wyoming</t>
  </si>
  <si>
    <t>WY</t>
  </si>
  <si>
    <t>Mean</t>
  </si>
  <si>
    <t>Standard Deviation</t>
  </si>
  <si>
    <t>Rank Associate Degree Premium (Over HS)</t>
  </si>
  <si>
    <t>Rank  High-Opp Job Openings per 1,000 working age residents</t>
  </si>
  <si>
    <t>Rank 2023 Annual Unemployment Rate</t>
  </si>
  <si>
    <t>Rank 2023 Attainment of Associate's Degree or Higher (25 - 64 year olds)</t>
  </si>
  <si>
    <t>--</t>
  </si>
  <si>
    <t>Composite Score: Strand 1: Opportunity to improve the state economy</t>
  </si>
  <si>
    <t>Composite: All economic opportunity &amp; workforce alignment</t>
  </si>
  <si>
    <t>Rank: All economic opportunity &amp; workforce alignment</t>
  </si>
  <si>
    <t>Flag</t>
  </si>
  <si>
    <t>Flag Strand 1</t>
  </si>
  <si>
    <t>Flag Strand 2</t>
  </si>
  <si>
    <t>Rank: All higher education spending and financial aid</t>
  </si>
  <si>
    <t>Rank Need-based aid (2023)</t>
  </si>
  <si>
    <t>Rank Non-need based aid (2023)</t>
  </si>
  <si>
    <t>Rank Non-grant aid (2023)</t>
  </si>
  <si>
    <t>Rank Total State Aid</t>
  </si>
  <si>
    <t>Rank  Total State and Local Support Excluding Federal Stimulus 2023</t>
  </si>
  <si>
    <t>Rank Gross FTE Enrollment 2023</t>
  </si>
  <si>
    <t>Rank  Need Based Aid Ratio</t>
  </si>
  <si>
    <t>Rank Standardized Total State financial aid spending per high school graduate</t>
  </si>
  <si>
    <t>Composite: Strand 1: Opportunity to increase spending / Opportunity to optimize appropriations spending</t>
  </si>
  <si>
    <t>Composite: Strand 2: Opportunity to increase and reallocate financial aid / Opportunity to optimize financial aid investments</t>
  </si>
  <si>
    <t>Composite Score: All higher education spending &amp; financial aid</t>
  </si>
  <si>
    <t>Composite Score Strand 2: Opportunity to improve credential attainment</t>
  </si>
  <si>
    <t>Rank out of all 50 states on economic opportunity and workforce alignment:</t>
  </si>
  <si>
    <t>State-by-State Detailed View</t>
  </si>
  <si>
    <t>Rank State Support per FTE 2023</t>
  </si>
  <si>
    <t>Rank Support Per $1,000 in Personal Income 2022</t>
  </si>
  <si>
    <t>This sheet summarizes key data points for each state to support each case for CUNY ASAP replication. Select a state from the drop-down menu on the right to get started.</t>
  </si>
  <si>
    <t>Composite Score: Strand 1: Opportunity to reverse enrollment decline</t>
  </si>
  <si>
    <t>Composite Score: Strand 2: Opportunity to improve retention and graduation rates</t>
  </si>
  <si>
    <t>Rank  Opportunity for continued engagement</t>
  </si>
  <si>
    <t>Rank Opportunity to leverage existing policies and initiatives</t>
  </si>
  <si>
    <t>Rank out of all 50 states on enrollment and performance:</t>
  </si>
  <si>
    <t>Rank out of all 50 states on optimizing higher education appropriations and financial aid:</t>
  </si>
  <si>
    <t>N/A</t>
  </si>
  <si>
    <t>Case 1: Economic Opportunity &amp; Workforce Alignment</t>
  </si>
  <si>
    <t>Case 2: State Spending &amp; Financial Commitment</t>
  </si>
  <si>
    <t>Case 3: Enrollment and performance</t>
  </si>
  <si>
    <t>Case 4: Readiness to Engage</t>
  </si>
  <si>
    <t>Overall Score</t>
  </si>
  <si>
    <t>Overall Rank</t>
  </si>
  <si>
    <t>Select Your Weights</t>
  </si>
  <si>
    <t>Rank out of all 50 states on policy and governance readiness:</t>
  </si>
  <si>
    <t>Total composite score</t>
  </si>
  <si>
    <t>Case 1: Improve economic opportunity and workforce alignment
(composite score)</t>
  </si>
  <si>
    <t>Case 2: Optimize higher education appropriations and financial aid
(composite score)</t>
  </si>
  <si>
    <t>Case 3: Boost enrollment and performance
(composite score)</t>
  </si>
  <si>
    <t>Case 4: Take advantage of policy and governance readiness
(composite score)</t>
  </si>
  <si>
    <t xml:space="preserve"> </t>
  </si>
  <si>
    <t>Please ensure weights in cells C13 through F13 sum to 1.</t>
  </si>
  <si>
    <t>Ranking States by Case-making Strategies</t>
  </si>
  <si>
    <t>Users can explore state rankings under different case-making strategies by assigning weights that sum to 1. To view rankings for a single case, assign it a weight of 1 and all others a weight of 0.</t>
  </si>
  <si>
    <t>Notes from past discussions</t>
  </si>
  <si>
    <t>Peer Organizations</t>
  </si>
  <si>
    <t>Governance model</t>
  </si>
  <si>
    <t>Governor political affiliation</t>
  </si>
  <si>
    <t>State legislature partisan composition</t>
  </si>
  <si>
    <t>Number of associate-granting institutions (2 year publics)</t>
  </si>
  <si>
    <t>Number 2-yr publics with &lt;35% grad rates</t>
  </si>
  <si>
    <t>Total FTE Enrollment at 2-yr Publics</t>
  </si>
  <si>
    <t>FTE  Enrollment at 2-yr publics with &lt;35% grad rates</t>
  </si>
  <si>
    <t>Percent of Enrollment at 2-yr publics with &lt;35% grad rates</t>
  </si>
  <si>
    <t>Number of bachelors-granting institutions (4 year publics)</t>
  </si>
  <si>
    <t>Number 4-yr publics with &lt;35% grad rates</t>
  </si>
  <si>
    <t>Total FTE Enrollment at 4-yr Publics</t>
  </si>
  <si>
    <t>FTE  Enrollment at 4-yr publics with &lt;35% grad rates</t>
  </si>
  <si>
    <t>Percent of Enrollment at 4-yr publics with &lt;35% grad rates</t>
  </si>
  <si>
    <t xml:space="preserve">5 year percent change in full-time enrollment at public 4 years </t>
  </si>
  <si>
    <t xml:space="preserve">10 year percent change in full-time enrollment at public 4 years </t>
  </si>
  <si>
    <t xml:space="preserve">5 year percent change in part-time enrollment at public 4 years </t>
  </si>
  <si>
    <t xml:space="preserve">10 year percent change in part-time enrollment at public 4 years </t>
  </si>
  <si>
    <t xml:space="preserve">5 year percentage point change in 6 year grad rates at public 4 years </t>
  </si>
  <si>
    <t xml:space="preserve">10 year percentage point change in 6 year grad rates at public 4 years </t>
  </si>
  <si>
    <t xml:space="preserve">5 year percentage point change in transfer rates at public 4 years </t>
  </si>
  <si>
    <t xml:space="preserve">10 year percentage point change in transfer rates at public 4 years </t>
  </si>
  <si>
    <t xml:space="preserve">5 year percent change in full-time enrollment at public 2 years </t>
  </si>
  <si>
    <t xml:space="preserve">5 year percent change in part-time enrollment at public 2 years </t>
  </si>
  <si>
    <t xml:space="preserve">10 year percent change in full-time enrollment at public 2 years </t>
  </si>
  <si>
    <t xml:space="preserve">10 year percent change in part-time enrollment at public 2 years </t>
  </si>
  <si>
    <t xml:space="preserve">5 year percentage point change in transfer rates at public 2 years </t>
  </si>
  <si>
    <t xml:space="preserve">10 year percentage point change in transfer rates at public 2 years </t>
  </si>
  <si>
    <t xml:space="preserve">5 year percentage point change in 3 year grad rates at public 2 years </t>
  </si>
  <si>
    <t xml:space="preserve">10 year percentage point change in 3 year grad rates at public 2 years </t>
  </si>
  <si>
    <t>5 Year Change in FTE Undergraduate Enrollment at public 2 years (2019-2023)</t>
  </si>
  <si>
    <t>5 Year Percent Change in FTE Undergraduate Enrollment at public 2 years (2019-2023)</t>
  </si>
  <si>
    <t>5 Year Change in FTE Undergraduate Enrollment at public 4 years (2019-2023)</t>
  </si>
  <si>
    <t>5 Year Percent Change in FTE Undergraduate Enrollment at public 4 years (2019-2023)</t>
  </si>
  <si>
    <t>3 Year Average Grad Cohort, Public 2 Years</t>
  </si>
  <si>
    <t>3 Year Average Grad Rate, 150% of normal time, 2 year publics</t>
  </si>
  <si>
    <t>3 Year Average Grad Cohort, Public 4 Years</t>
  </si>
  <si>
    <t>3 Year Average Grad Rate, 150% of normal time, 4 year publics</t>
  </si>
  <si>
    <t>3 Year Average FT Cohort, public 2-years</t>
  </si>
  <si>
    <t>3 Year Average full-time retention rate, 2 year publics</t>
  </si>
  <si>
    <t>3 Year Average FT Cohort, public 4-years</t>
  </si>
  <si>
    <t>3 Year Average full-time retention rate, 4 year publics</t>
  </si>
  <si>
    <t>3 Year Average PT Cohort, public 2-years</t>
  </si>
  <si>
    <t xml:space="preserve">3 Year Average part-time retention rate, 2 year publics </t>
  </si>
  <si>
    <t>3 Year Average PT Cohort, public 4-years</t>
  </si>
  <si>
    <t xml:space="preserve">3 Year Average part-time retention rate, 4 year publics </t>
  </si>
  <si>
    <t>2024 Annual Unemployment Rate</t>
  </si>
  <si>
    <t>Percentage Change in Unemployment Rate (2024 - 2023)</t>
  </si>
  <si>
    <t>December 2024 Job Openings Rate</t>
  </si>
  <si>
    <t>December 2023 Job Opening Rate</t>
  </si>
  <si>
    <t>Percent Change in Job Openings Rate (Dec 2024 - Dec 2023)</t>
  </si>
  <si>
    <t>Working Age Population (25 - 64) (thousands) 2023</t>
  </si>
  <si>
    <t>Number of High-Opportunity Occupations Typically Requiring an Associate's Degree</t>
  </si>
  <si>
    <t>Number of High-Opportunity Occupations Typically Requiring an Bachelor's Degree</t>
  </si>
  <si>
    <t>Total "Average Annual Job Openings" for High-Opportunity Occupations that typically require an Associate's Degree</t>
  </si>
  <si>
    <t>Total "Average Annual Job Openings" for High-Opportunity Occupations that typically require an Bachelor's Degree</t>
  </si>
  <si>
    <t>Avgerage Annual High-Opp Job Openings per 1,000 working age residents (Associates)</t>
  </si>
  <si>
    <t>Avgerage Annual High-Opp Job Openings per 1,000 working age residents (Bachelors)</t>
  </si>
  <si>
    <t>2014 Attainment of Associate's Degree or Higher (25 - 64 year olds)</t>
  </si>
  <si>
    <t>10 year trend (2023 - 2014) in Attainment of Associate's Degree or Higher (25 - 64 year olds)</t>
  </si>
  <si>
    <t>State Share of SCNC Under 65 (NSC)</t>
  </si>
  <si>
    <t xml:space="preserve">Median Income High School Diploma </t>
  </si>
  <si>
    <t>Median Income Associate Degree Earners</t>
  </si>
  <si>
    <t>Median Income Bachelor's Earners</t>
  </si>
  <si>
    <t>Bachelor's Degree Premium (Over HS)</t>
  </si>
  <si>
    <t>Gross FTE Enrollment (SHEF) 2023</t>
  </si>
  <si>
    <t>Total State and Local Support Excluding Federal Stimulus 2014</t>
  </si>
  <si>
    <t>Gross FTE Enrollment (SHEF) 2014</t>
  </si>
  <si>
    <t>State Support per FTE 2014</t>
  </si>
  <si>
    <t>10 Year Percent Change in Total State and Local Support</t>
  </si>
  <si>
    <t>10 Year Percentage Change in State Support per FTE</t>
  </si>
  <si>
    <t>Support Per $1,000 in Personal Income Percent Change since 2017</t>
  </si>
  <si>
    <t>Support Per $1,000 in Personal Income Percent Change since 2012</t>
  </si>
  <si>
    <t>"Single, statewide governing board"</t>
  </si>
  <si>
    <t>Republican</t>
  </si>
  <si>
    <t>"Single, statewide coordinating board/agency"</t>
  </si>
  <si>
    <t>Prior discussions w/ Mesa and Maricopa CC; no state-level discussions that I'm aware of</t>
  </si>
  <si>
    <t>"One or more major, systemwide coordinating or governing board", Administrative/service agency</t>
  </si>
  <si>
    <t>Democrat</t>
  </si>
  <si>
    <t>Prior attempts at expansion were not fruitful, but it's been some time, and it's unclear if the right players were engaged. Presentation for LA community college district several years ago. SMCCCD received gov't funds to lead an exploratory project with 3 other colleges in the state but they did not end up replicating.</t>
  </si>
  <si>
    <t>"One or more major, systemwide coordinating or governing board"</t>
  </si>
  <si>
    <t>Very likely moving forward with pilot. CB and CBW meeting with CCCS &amp; inst leadership in early Dec; State Higher Ed Dept and CCCS were SHEEO participants along with 2 colleges; Arnold Ventures has 2 funding streams potentially available for this work; several advocacy orgs are on board</t>
  </si>
  <si>
    <t>Administrative/service agency</t>
  </si>
  <si>
    <t>Inquiry from rural East GA State College, member University System of GA. Low graduation rates and CBW had several conversations with  the President, encouraged to consider partner colleges for SHEEO participation. Funding and issue did not pursue. 
Spring 2023 Bruce Vandal passed off interest from Univ System of GA - no follow up after initial connect</t>
  </si>
  <si>
    <t>NISS</t>
  </si>
  <si>
    <t>CB connected with VP of Academic Systems and Completion Strategy at CCA 24 and they are interested in initial exploratory; some discussion with Empower Schools at PIE network meeting who would strongly support and says Ivy Tech would be well-poised for this work</t>
  </si>
  <si>
    <t>Recent interest noted from Chris Gabrielli Chairman at the Mass Board of Higher ED and interest from Chancellor's office that was born out of PIE network webinar.  They also followed up with/Donna re: Transformation funds structure that supported ASAP/ACE rep. CB &amp; CC engaged the Directors of the Hildreth Institute who noted CC's may be interested as they have SUCCESS programs running. Mentioned 1 college specifically and suggested they gather a few folks from various orgs to hear more about ASAP.</t>
  </si>
  <si>
    <t>Recent interest noted from Jon Baron - no direct connect/follow-up to-date. Separately, individual college has reached out and CC has followed up.</t>
  </si>
  <si>
    <t>MDRC?</t>
  </si>
  <si>
    <t>Per SHEEO output - too much "noise" in the environment; CCs lack infrastructure/capacity for wholesale ASAP replication</t>
  </si>
  <si>
    <t>n/a</t>
  </si>
  <si>
    <t>Split</t>
  </si>
  <si>
    <t>Explored potential partnership several years ago through a connection made by MDRC but they decided to move forward with their own program, Montana 10. We have had ongoing conversations with them as they've expanded.</t>
  </si>
  <si>
    <t>MDRC? MT 10</t>
  </si>
  <si>
    <t>NCCCS PACE is set for 2025; UNC TrACE may sunset in June 2025</t>
  </si>
  <si>
    <t>June 2022 mtg w/grant writer and faculty consortium group - no further follow up since</t>
  </si>
  <si>
    <t>SHEEO|ASAP participation; OSHE has backed away from this as a state-sponsored/scaled initiative; NJ Council on County Colleges says if they had funding, they could run a pilot</t>
  </si>
  <si>
    <t>CUNY/SUNY at scale</t>
  </si>
  <si>
    <t>KG mtg w/OH (Lorain) and OACC - interest in expansion; no funding prospects</t>
  </si>
  <si>
    <t>Portland State University received a PSSG and will participate in an RCT; program would not be an ASAP replication but the program coordinator reached out to request guidance and to learn more. Not moving forward with a contractural relationship but offered to continue discussions as thought partners.</t>
  </si>
  <si>
    <t>South Carolina Technical Community College System presentation to CAO &amp;CSSO, readiness assessment to be completed by leaders  1/2025</t>
  </si>
  <si>
    <t>Mtg w/Carolyn Heinrich (Nash GRAD researcher) and Wendy Blackmore (TN College Access and Sucecss Newtork) - both interested in pursuing expansion; applied for PSSG and were not granted</t>
  </si>
  <si>
    <t>Arnold Ventures coordinated mtg w/Houston-based funders; some interest there, but no feelers out at colleges yet</t>
  </si>
  <si>
    <t>MDRC</t>
  </si>
  <si>
    <t>Per SHEEO output - some colleges are interested; state agencies not able to coordinate state-level project</t>
  </si>
  <si>
    <t>Per consultant (Bruce Vandal), no momentum for expansion</t>
  </si>
  <si>
    <t>STATE</t>
  </si>
  <si>
    <t>Scope of Authority</t>
  </si>
  <si>
    <t>Type of Institutions</t>
  </si>
  <si>
    <t>Alabama Commission on Higher Education</t>
  </si>
  <si>
    <t>Coordinating</t>
  </si>
  <si>
    <t>Statewide</t>
  </si>
  <si>
    <t>Public four-year, public two-year and other (e.g., Independent/non-profit, proprietary, online or specialty)</t>
  </si>
  <si>
    <t>Alabama Commission on Higher Education (Agency)</t>
  </si>
  <si>
    <t>Administrative/service</t>
  </si>
  <si>
    <t>Board of Trustees for University of Alabama System</t>
  </si>
  <si>
    <t>Governing</t>
  </si>
  <si>
    <t>Public four-year</t>
  </si>
  <si>
    <t>Alabama Community College Board of Trustees</t>
  </si>
  <si>
    <t>Public two-year</t>
  </si>
  <si>
    <t>Alabama Association of Independent Colleges and Universities</t>
  </si>
  <si>
    <t>Membership</t>
  </si>
  <si>
    <t>Independent/non-profit</t>
  </si>
  <si>
    <t>University of Alaska Board of Regents</t>
  </si>
  <si>
    <t>Public four-year and public two-year</t>
  </si>
  <si>
    <t>University of Alaska System Office</t>
  </si>
  <si>
    <t>Alaska Commission on Postsecondary Education</t>
  </si>
  <si>
    <t>Arizona Board of Regents</t>
  </si>
  <si>
    <t>Systemwide</t>
  </si>
  <si>
    <t>Arizona Board of Regents System Office</t>
  </si>
  <si>
    <t>Arizona Commission for Postsecondary Education</t>
  </si>
  <si>
    <t>Arizona Community College Coordinating Council</t>
  </si>
  <si>
    <t>Arkansas Higher Education Coordinating Board</t>
  </si>
  <si>
    <t>Arkansas Department of Education -- Division of Higher Education</t>
  </si>
  <si>
    <t>Board of Trustees of the University of Arkansas</t>
  </si>
  <si>
    <t>Arkansas State University Board of Trustees</t>
  </si>
  <si>
    <t>Arkansas Community Colleges</t>
  </si>
  <si>
    <t>Arkansas Independent Colleges and Universities, Inc.</t>
  </si>
  <si>
    <t>Regents of the University of California</t>
  </si>
  <si>
    <t>California State University Board of Trustees</t>
  </si>
  <si>
    <t>Board of Governors of the California Community Colleges</t>
  </si>
  <si>
    <t>University of California System Office</t>
  </si>
  <si>
    <t>California State University System Office</t>
  </si>
  <si>
    <t>California Community Colleges Chancellor's Office</t>
  </si>
  <si>
    <t>California Student Aid Commission</t>
  </si>
  <si>
    <t>Financial aid agency</t>
  </si>
  <si>
    <t>Community College League of California</t>
  </si>
  <si>
    <t>Association of Independent California Colleges and Universities</t>
  </si>
  <si>
    <t>Colorado Commission on Higher Education</t>
  </si>
  <si>
    <t>Colorado Department of Higher Education</t>
  </si>
  <si>
    <t>University of Colorado Board of Regents</t>
  </si>
  <si>
    <t>Board of Governors of the Colorado State University System</t>
  </si>
  <si>
    <t>State Board of Community Colleges and Occupational Education (Colorado)</t>
  </si>
  <si>
    <t>Independent Higher Education of Colorado</t>
  </si>
  <si>
    <t>Connecticut Board of Regents for Higher Education</t>
  </si>
  <si>
    <t>Board of Regents for Connecticut State Colleges &amp; Universities System Office</t>
  </si>
  <si>
    <t>Connecticut Office of Higher Education</t>
  </si>
  <si>
    <t>Connecticut Higher Education Coordinating Council</t>
  </si>
  <si>
    <t>Advisory</t>
  </si>
  <si>
    <t>University of Connecticut Board of Trustees</t>
  </si>
  <si>
    <t>Connecticut Conference of Independent Colleges</t>
  </si>
  <si>
    <t>Delaware Department of Education -- Higher Education Office</t>
  </si>
  <si>
    <t>District of Columbia</t>
  </si>
  <si>
    <t>Office of the State Superintendent of Education-- Postsecondary and Career Education Division</t>
  </si>
  <si>
    <t>Board of Trustees of the University of the District of Columbia</t>
  </si>
  <si>
    <t>State University System of Florida Board of Governors</t>
  </si>
  <si>
    <t>Florida State Board of Education</t>
  </si>
  <si>
    <t>State University System of Florida Board of Governors System Office</t>
  </si>
  <si>
    <t>Florida Department of Education Office of Student Financial Assistance</t>
  </si>
  <si>
    <t>Florida Department of Education--Division of Florida Colleges</t>
  </si>
  <si>
    <t>Florida Talent Development Council</t>
  </si>
  <si>
    <t>Association of Florida Colleges</t>
  </si>
  <si>
    <t>Independent Colleges and Universities of Florida Inc.</t>
  </si>
  <si>
    <t>Board of Regents of the University System of Georgia</t>
  </si>
  <si>
    <t>Public four-year, public two year</t>
  </si>
  <si>
    <t>State Board of the Technical College System of Georgia</t>
  </si>
  <si>
    <t>University System of Georgia System Office</t>
  </si>
  <si>
    <t>Technical College System of Georgia System Office</t>
  </si>
  <si>
    <t>Georgia Student Finance Commission</t>
  </si>
  <si>
    <t>Georgia Independent College Association</t>
  </si>
  <si>
    <t>Board of Regents of the University of Hawaii</t>
  </si>
  <si>
    <t>University of Hawaii System Office</t>
  </si>
  <si>
    <t>Idaho State Board of Education</t>
  </si>
  <si>
    <t>Idaho Office of the State Board of Education</t>
  </si>
  <si>
    <t>Illinois Board of Higher Education</t>
  </si>
  <si>
    <t>Illinois Board of Higher Education (Agency)</t>
  </si>
  <si>
    <t>Illinois Student Assistance Commission</t>
  </si>
  <si>
    <t>University of Illinois Board of Trustees</t>
  </si>
  <si>
    <t>Southern Illinois University Board of Trustees</t>
  </si>
  <si>
    <t>Illinois Community College Board</t>
  </si>
  <si>
    <t>Illinois Community College Trustees Association</t>
  </si>
  <si>
    <t>Federation of Independent Illinois Colleges and Universities</t>
  </si>
  <si>
    <t>Indiana Commission on Higher Education</t>
  </si>
  <si>
    <t>Indiana Commission for Higher Education (Agency)</t>
  </si>
  <si>
    <t>Indiana University Board of Trustees</t>
  </si>
  <si>
    <t>Purdue University System Board of Trustees</t>
  </si>
  <si>
    <t>Ivy Tech Community College State Board of Trustees</t>
  </si>
  <si>
    <t>Independent Colleges of Indiana</t>
  </si>
  <si>
    <t>Board of Regents State of Iowa</t>
  </si>
  <si>
    <t>Iowa State Board of Education</t>
  </si>
  <si>
    <t>Iowa Board of Regents System Office</t>
  </si>
  <si>
    <t>Iowa Department of Education Division of Community Colleges and Workforce Preparation</t>
  </si>
  <si>
    <t>Iowa College Student Aid Commission</t>
  </si>
  <si>
    <t>Iowa Community College Council</t>
  </si>
  <si>
    <t>Iowa Association of Community College Trustees</t>
  </si>
  <si>
    <t>Iowa Association of Independent Colleges and Universities</t>
  </si>
  <si>
    <t>Kansas Board of Regents (Governing)</t>
  </si>
  <si>
    <t>Governing and coordinating</t>
  </si>
  <si>
    <t>Kansas Board of Regents (Coordinating)</t>
  </si>
  <si>
    <t>Kansas Board of Regents System Office</t>
  </si>
  <si>
    <t>Kansas Association of Community College Trustees</t>
  </si>
  <si>
    <t>Kansas Independent College Association</t>
  </si>
  <si>
    <t>Kentucky Council on Postsecondary Education</t>
  </si>
  <si>
    <t>Kentucky Council on Postsecondary Education (Agency)</t>
  </si>
  <si>
    <t>Kentucky Higher Education Assistance Authority</t>
  </si>
  <si>
    <t>Kentucky Community and Technical College System Board of Regents</t>
  </si>
  <si>
    <t>Association of Independent Kentucky Colleges and Universities</t>
  </si>
  <si>
    <t>Louisiana Board of Regents</t>
  </si>
  <si>
    <t>Louisiana Board of Regents (Agency)</t>
  </si>
  <si>
    <t>Board of Supervisors for the University of Louisiana System</t>
  </si>
  <si>
    <t>Board of Supervisors for the Southern University and Agricultural and Mechanical College (Louisiana)</t>
  </si>
  <si>
    <t>Louisiana State University Board of Supervisors</t>
  </si>
  <si>
    <t>Louisiana Community and Technical College System Board of Supervisors</t>
  </si>
  <si>
    <t>Louisiana Association of Independent Colleges and Universities</t>
  </si>
  <si>
    <t>University of Maine System Board of Trustees</t>
  </si>
  <si>
    <t>Maine Community College System Board of Trustees</t>
  </si>
  <si>
    <t>University of Maine System Office</t>
  </si>
  <si>
    <t>Maine Community College System Office</t>
  </si>
  <si>
    <t>Finance Authority of Maine</t>
  </si>
  <si>
    <t>Maine Independent Colleges Association</t>
  </si>
  <si>
    <t>Maryland Higher Education Commission</t>
  </si>
  <si>
    <t>Maryland Higher Education Commission (Agency)</t>
  </si>
  <si>
    <t>Board of Regents of the University System of Maryland</t>
  </si>
  <si>
    <t>Maryland Association of Community Colleges</t>
  </si>
  <si>
    <t>Maryland Independent College and University Association</t>
  </si>
  <si>
    <t>Massachusetts Board of Higher Education</t>
  </si>
  <si>
    <t>Massachusetts Department of Higher Education</t>
  </si>
  <si>
    <t>University of Massachusetts Board of Trustees</t>
  </si>
  <si>
    <t>Massachusetts Community Colleges Executive Office</t>
  </si>
  <si>
    <t>Association of Independent Colleges and Universities in Massachusetts</t>
  </si>
  <si>
    <t>Michigan State Budget Office</t>
  </si>
  <si>
    <t>Michigan Student Financial Services Bureau</t>
  </si>
  <si>
    <t>University of Michigan Board of Regents</t>
  </si>
  <si>
    <t>Michigan Association of State Universities</t>
  </si>
  <si>
    <t>Michigan Community College Association</t>
  </si>
  <si>
    <t>Michigan Independent Colleges &amp; Universities</t>
  </si>
  <si>
    <t>University of Minnesota Board of Regents</t>
  </si>
  <si>
    <t>Board of Trustees of the Minnesota State Colleges and Universities</t>
  </si>
  <si>
    <t>Minnesota State Colleges and University System Office</t>
  </si>
  <si>
    <t>Minnesota Office of Higher Education</t>
  </si>
  <si>
    <t>University of Minnesota Board of Regents (Other)</t>
  </si>
  <si>
    <t>Minnesota Private College Council</t>
  </si>
  <si>
    <t>Mississippi Board of Trustees of State Institutions of Higher Education</t>
  </si>
  <si>
    <t>Mississippi Community College Board</t>
  </si>
  <si>
    <t>Mississippi State Institutions of Higher Education System Office</t>
  </si>
  <si>
    <t>Mississippi Community College Board System Office</t>
  </si>
  <si>
    <t>Mississippi Postsecondary Education Financial Assistance Board</t>
  </si>
  <si>
    <t>Missouri Coordinating Board for Higher Education</t>
  </si>
  <si>
    <t>Missouri Department of Higher Education and Workforce Development</t>
  </si>
  <si>
    <t>Board of Curators of the University of Missouri</t>
  </si>
  <si>
    <t>Missouri Council on Public Higher Education</t>
  </si>
  <si>
    <t>Missouri Community College Association</t>
  </si>
  <si>
    <t>Independent Colleges and Universities of Missouri</t>
  </si>
  <si>
    <t>Montana Board of Regents for Higher Education (Governing)</t>
  </si>
  <si>
    <t>Montana Board of Regents for Higher Education (Coordinating)</t>
  </si>
  <si>
    <t>Montana Office of the Commissioner of Higher Education</t>
  </si>
  <si>
    <t>Nebraska Coordinating Commission for Postsecondary Education</t>
  </si>
  <si>
    <t>Nebraska Coordinating Commission for Postsecondary Education (Agency)</t>
  </si>
  <si>
    <t>Board of Regents of the University of Nebraska</t>
  </si>
  <si>
    <t>Board of Trustees of the Nebraska State Colleges</t>
  </si>
  <si>
    <t>Nebraska Community College Association</t>
  </si>
  <si>
    <t>Council of Independent Nebraska Colleges Foundation</t>
  </si>
  <si>
    <t>Board of Regents of the Nevada System of Higher Education</t>
  </si>
  <si>
    <t>Nevada System of Higher Education</t>
  </si>
  <si>
    <t>University System of New Hampshire Board of Trustees</t>
  </si>
  <si>
    <t>Community College System of New Hampshire Board of Trustees</t>
  </si>
  <si>
    <t>University of New Hampshire System Office</t>
  </si>
  <si>
    <t>Community College System of New Hampshire System Office</t>
  </si>
  <si>
    <t>New Hampshire Department of Education: Division of Higher Education - Higher Education Commission</t>
  </si>
  <si>
    <t>New Hampshire College and University Council</t>
  </si>
  <si>
    <t>State of New Jersey Office of the Secretary of Higher Education</t>
  </si>
  <si>
    <t>New Jersey Higher Education Student Assistance Authority</t>
  </si>
  <si>
    <t>New Jersey Presidents' Council</t>
  </si>
  <si>
    <t>New Jersey Association of State Colleges and Universities</t>
  </si>
  <si>
    <t>New Jersey Council of County Colleges</t>
  </si>
  <si>
    <t>Association of Independent Colleges and Universities in New Jersey</t>
  </si>
  <si>
    <t>New Mexico Department of Higher Education</t>
  </si>
  <si>
    <t>New Mexico State University Board of Regents</t>
  </si>
  <si>
    <t>Eastern New Mexico University Board of Regents</t>
  </si>
  <si>
    <t>University of New Mexico Board of Regents</t>
  </si>
  <si>
    <t>Council of University Presidents</t>
  </si>
  <si>
    <t>New Mexico Independent Community Colleges</t>
  </si>
  <si>
    <t>The Board of Regents of The University of the State of New York</t>
  </si>
  <si>
    <t>City University of New York Board of Trustees</t>
  </si>
  <si>
    <t>Board of Trustees of State University of New York</t>
  </si>
  <si>
    <t>City University of New York System Office</t>
  </si>
  <si>
    <t>State University of New York System Office</t>
  </si>
  <si>
    <t>New York State Education Department Office of Higher Education</t>
  </si>
  <si>
    <t>New York State Higher Education Services Corporation</t>
  </si>
  <si>
    <t>Commission on Independent Colleges and Universities in New York</t>
  </si>
  <si>
    <t>University of North Carolina Board of Governors</t>
  </si>
  <si>
    <t>North Carolina State Board of Community Colleges</t>
  </si>
  <si>
    <t>University of North Carolina System Office</t>
  </si>
  <si>
    <t>North Carolina Community Colleges System Office</t>
  </si>
  <si>
    <t>North Carolina State Education Assistance Authority</t>
  </si>
  <si>
    <t>North Carolina Association of Community College Trustees</t>
  </si>
  <si>
    <t>North Carolina Independent Colleges and Universities</t>
  </si>
  <si>
    <t>North Dakota State Board of Higher Education</t>
  </si>
  <si>
    <t>North Dakota University System Office</t>
  </si>
  <si>
    <t>Ohio Department of Higher Education</t>
  </si>
  <si>
    <t>Ohio Board of Regents</t>
  </si>
  <si>
    <t>Board of Trustees of The Ohio State University</t>
  </si>
  <si>
    <t>Ohio University Board of Trustees</t>
  </si>
  <si>
    <t>Ohio Association of Community Colleges</t>
  </si>
  <si>
    <t>Association of Independent Colleges and Universities of Ohio</t>
  </si>
  <si>
    <t>Oklahoma State Regents for Higher Education</t>
  </si>
  <si>
    <t>Oklahoma State Regents for Higher Education (Agency)</t>
  </si>
  <si>
    <t>Board of Regents of the Regional University System of Oklahoma</t>
  </si>
  <si>
    <t>University of Oklahoma Board of Regents</t>
  </si>
  <si>
    <t>Board of Regents for the Oklahoma Agricultural and Mechanical Colleges</t>
  </si>
  <si>
    <t>Oklahoma Independent Colleges and Universities</t>
  </si>
  <si>
    <t>Oregon Higher Education Coordinating Commission</t>
  </si>
  <si>
    <t>Oregon Higher Education Coordinating Commission (Agency)</t>
  </si>
  <si>
    <t>Oregon Community College Association</t>
  </si>
  <si>
    <t>Oregon Alliance of Independent Colleges and Universities</t>
  </si>
  <si>
    <t>Pennsylvania State System of Higher Education Board of Governors</t>
  </si>
  <si>
    <t>Pennsylvania State System of Higher Education System Office</t>
  </si>
  <si>
    <t>Pennsylvania State Board of Education</t>
  </si>
  <si>
    <t>Pennsylvania Higher Education Assistance Authority</t>
  </si>
  <si>
    <t>Pennsylvania Department of Education--Office of Postsecondary and Higher Education</t>
  </si>
  <si>
    <t>Pennsylvania State University Board of Trustees</t>
  </si>
  <si>
    <t>Pennsylvania Commission for Community Colleges</t>
  </si>
  <si>
    <t>Association of Independent Colleges &amp; Universities of Pennsylvania</t>
  </si>
  <si>
    <t>Rhode Island Council on Postsecondary Education</t>
  </si>
  <si>
    <t>Rhode Island Office of the Postsecondary Commissioner</t>
  </si>
  <si>
    <t>Rhode Island Board of Education</t>
  </si>
  <si>
    <t>Association of Independent Colleges and Universities of Rhode Island</t>
  </si>
  <si>
    <t>South Carolina Commission on Higher Education</t>
  </si>
  <si>
    <t>South Carolina Commission on Higher Education (Agency)</t>
  </si>
  <si>
    <t>South Carolina State Board for Technical and Comprehensive Education</t>
  </si>
  <si>
    <t>South Carolina Association of Technical College Commissioners</t>
  </si>
  <si>
    <t>South Carolina Independent College and Universities, Inc.</t>
  </si>
  <si>
    <t>South Dakota Board of Regents</t>
  </si>
  <si>
    <t>South Dakota Board of Technical Education</t>
  </si>
  <si>
    <t>South Dakota Board of Regents System Office</t>
  </si>
  <si>
    <t>South Dakota Board of Technical College System Office</t>
  </si>
  <si>
    <t>Tennessee Higher Education Commission</t>
  </si>
  <si>
    <t>Tennessee Higher Education Commission (Agency)</t>
  </si>
  <si>
    <t>Tennessee Student Assistance Corporation</t>
  </si>
  <si>
    <t>Board of Trustees of the University of Tennessee</t>
  </si>
  <si>
    <t>Tennessee Board of Regents</t>
  </si>
  <si>
    <t>Tennessee Independent Colleges and Universities Association</t>
  </si>
  <si>
    <t>Texas Higher Education Coordinating Board</t>
  </si>
  <si>
    <t>Texas Higher Education Coordinating Board (Agency)</t>
  </si>
  <si>
    <t>University of Texas System Board of Regents</t>
  </si>
  <si>
    <t>Texas A&amp;M University System Board of Regents</t>
  </si>
  <si>
    <t>University of Northern Texas System Board of Regents</t>
  </si>
  <si>
    <t>Texas Tech University System Board of Regents</t>
  </si>
  <si>
    <t>University of Houston System Board of Regents</t>
  </si>
  <si>
    <t>Texas State Technical College System Board of Regents</t>
  </si>
  <si>
    <t>Board of Regents for the Texas State University System</t>
  </si>
  <si>
    <t>Texas Community College Governing Boards</t>
  </si>
  <si>
    <t>Community College Association of Texas Trustees</t>
  </si>
  <si>
    <t>Council of Public University Presidents and Chancellors</t>
  </si>
  <si>
    <t>Texas Association of Community Colleges</t>
  </si>
  <si>
    <t>Independent Colleges and Universities of Texas, Inc.</t>
  </si>
  <si>
    <t>Utah Board of Higher Education</t>
  </si>
  <si>
    <t>Utah System of Higher Education System Office</t>
  </si>
  <si>
    <t>Vermont State Colleges Board of Trustees</t>
  </si>
  <si>
    <t>Vermont State Colleges System Office</t>
  </si>
  <si>
    <t>Vermont Student Assistance Corporation</t>
  </si>
  <si>
    <t>Association of Vermont Independent Colleges</t>
  </si>
  <si>
    <t>State Council of Higher Education for Virginia</t>
  </si>
  <si>
    <t>State Council of Higher Education for Virginia (Agency)</t>
  </si>
  <si>
    <t>Virginia State Board for Community Colleges</t>
  </si>
  <si>
    <t>Council of Independent Colleges in Virginia</t>
  </si>
  <si>
    <t>Washington Student Achievement Council</t>
  </si>
  <si>
    <t>Washington Student Achievement Council (Agency)</t>
  </si>
  <si>
    <t>Washington State Board for Community and Technical Colleges</t>
  </si>
  <si>
    <t>University of Washington Board of Regents</t>
  </si>
  <si>
    <t>Washington State University Board of Regents</t>
  </si>
  <si>
    <t>Council of Presidents</t>
  </si>
  <si>
    <t>Washington Association of Community and Technical Colleges</t>
  </si>
  <si>
    <t>Independent Colleges of Washington</t>
  </si>
  <si>
    <t>West Virginia Higher Education Policy Commission</t>
  </si>
  <si>
    <t>West Virginia Council for Community and Technical College Education</t>
  </si>
  <si>
    <t>West Virginia Higher Education Policy Commission (Agency)</t>
  </si>
  <si>
    <t>West Virginia Council for Community and Technical College Education (Agency)</t>
  </si>
  <si>
    <t>West Virginia's Independent Colleges and Universities, Inc.</t>
  </si>
  <si>
    <t>Board of Regents of the University of Wisconsin System</t>
  </si>
  <si>
    <t>Wisconsin Technical College System Board</t>
  </si>
  <si>
    <t>University of Wisconsin System Office</t>
  </si>
  <si>
    <t>Wisconsin Technical College System Office</t>
  </si>
  <si>
    <t>Wisconsin Higher Educational Aids Board</t>
  </si>
  <si>
    <t>Wisconsin Technical College District Board Association</t>
  </si>
  <si>
    <t>Wisconsin Association of Independent Colleges and Universities</t>
  </si>
  <si>
    <t>Wyoming Community College Commission</t>
  </si>
  <si>
    <t>Wyoming Community College Commission (Agency)</t>
  </si>
  <si>
    <t>Wyoming Department of Education</t>
  </si>
  <si>
    <t>University of Wyoming Board of Trustees</t>
  </si>
  <si>
    <t>Wyoming Association of Community College Trustees</t>
  </si>
  <si>
    <t>Entity Name</t>
  </si>
  <si>
    <t>Entity Function</t>
  </si>
  <si>
    <t>Key State Profile Information</t>
  </si>
  <si>
    <t>Governor</t>
  </si>
  <si>
    <t>Legislature</t>
  </si>
  <si>
    <t>Higher education leadership entities</t>
  </si>
  <si>
    <t>State statistics at a glance</t>
  </si>
  <si>
    <t>Does the state have an active or under contruction SLDS?</t>
  </si>
  <si>
    <t>Developmental Ed Reform?</t>
  </si>
  <si>
    <t>Supplemental data</t>
  </si>
  <si>
    <t>Number of Public Institutions</t>
  </si>
  <si>
    <t>2-Year</t>
  </si>
  <si>
    <t>4-Year</t>
  </si>
  <si>
    <t>Existing Policies and Initatives</t>
  </si>
  <si>
    <t>Guaranteed transfer of associates?</t>
  </si>
  <si>
    <t>Existing SLDS?</t>
  </si>
  <si>
    <t>State Working Age Population (25-64 years old)</t>
  </si>
  <si>
    <t xml:space="preserve">Total PBF Allocations </t>
  </si>
  <si>
    <t>Rank public HS Grads</t>
  </si>
  <si>
    <t>SCNC Under 65 Counts Per 1,000 Undergrad Enrollment</t>
  </si>
  <si>
    <t>Rank SCNC Count</t>
  </si>
  <si>
    <t>FTE undergrad enrollment at public 2-yrs, 2019</t>
  </si>
  <si>
    <t>FTE undergrad enrollment at public 2-yrs, 2023</t>
  </si>
  <si>
    <t>FTE undergrad enrollment change at public 2-yrs (#), 2019 to 2023</t>
  </si>
  <si>
    <t>FTE undergrad enrollment change at public 2-yrs (%), 2019 to 2023</t>
  </si>
  <si>
    <t>3-year Graduation rate, public 2-yrs (3 yr rolling avg)</t>
  </si>
  <si>
    <t>Retention rate (Full-time), public 2-yrs (3 yr rolling avg)</t>
  </si>
  <si>
    <t>Retention rate (Part-time), public 2-yrs (3 yr rolling avg)</t>
  </si>
  <si>
    <t>Rank FTE undergrad enrollment at public 2-yrs, 2019</t>
  </si>
  <si>
    <t>Rank FTE undergrad enrollment at public 2-yrs, 2023</t>
  </si>
  <si>
    <t>Rank FTE undergrad enrollment change at public 2-yrs (%), 2019 to 2023</t>
  </si>
  <si>
    <t>.</t>
  </si>
  <si>
    <t>2023 Attainment of Bachelor's Degree or higher</t>
  </si>
  <si>
    <t>3 Year Average part-time retention rate, 4 year publics</t>
  </si>
  <si>
    <t>PBF</t>
  </si>
  <si>
    <t>General Public Operations</t>
  </si>
  <si>
    <t>PBF as a % of Total Public Operating</t>
  </si>
  <si>
    <t>Rank Bachelor's Degree Premium (Over HS)</t>
  </si>
  <si>
    <t>Rank 2023 Attainment of Bachelor's Degree or Higher (25 - 64 year olds)</t>
  </si>
  <si>
    <t>Rank  Average Annual High-Opp Job Openings per 1,000 working age residents (Bachelors)</t>
  </si>
  <si>
    <t>Rank General Public Operations</t>
  </si>
  <si>
    <t>Rank 10-Year Trend in State Support per FTE</t>
  </si>
  <si>
    <t>Rank  Support Per $1,000 in Personal Income Percent Change since 2012</t>
  </si>
  <si>
    <t>Rank 5 Year Percent Change in FTE Undergraduate Enrollment at public 4 years (2019-2023)</t>
  </si>
  <si>
    <t>Rank 3 Year Average Grad Rate, 150% of normal time, 4 year publics</t>
  </si>
  <si>
    <t>Rank 3 Year Average full-time retention rate, 4 year publics</t>
  </si>
  <si>
    <t>Rank 3 Year Average part-time retention rate, 4 year publics</t>
  </si>
  <si>
    <t>Rank  Total PBF Obligations</t>
  </si>
  <si>
    <t>Rank PBF as a % of Total Public Operating</t>
  </si>
  <si>
    <t>Governor Political Affiliation</t>
  </si>
  <si>
    <t>State Legislature Partisan Composition</t>
  </si>
  <si>
    <t>Working Age Population ages 25 to 64 (thousands), 2023</t>
  </si>
  <si>
    <t>Public 2-Year Institutions (count)</t>
  </si>
  <si>
    <t>Public 2-Year Institutions with Graduation Rate below 35% (count)</t>
  </si>
  <si>
    <t>Public 2-Year Total FTE Enrollment</t>
  </si>
  <si>
    <t>Public 4-Year Institutions (count</t>
  </si>
  <si>
    <t>Public 4-Year Institutions with Graduation Rate below 35% (count)</t>
  </si>
  <si>
    <t>Public 4-Year Total FTE Enrollment</t>
  </si>
  <si>
    <t>State Need-Based Aid ($), 2023</t>
  </si>
  <si>
    <t>State Non-Need-Based Aid ($), 2023</t>
  </si>
  <si>
    <t>State Non-Grant Aid ($), 2023</t>
  </si>
  <si>
    <t>Total State Aid ($), 2023</t>
  </si>
  <si>
    <t>Total State and Local Support excluding Federal Stimulus ($), 2023</t>
  </si>
  <si>
    <t>Gross FTE Enrollment, 2023</t>
  </si>
  <si>
    <t>Public High School Graduates (count), 2022–23</t>
  </si>
  <si>
    <t>State and Local Support per FTE ($), 2023</t>
  </si>
  <si>
    <t>Support per $1,000 of Personal Income ($), 2022</t>
  </si>
  <si>
    <t>Support per $1,000 of Personal Income Change since 2012 (%)</t>
  </si>
  <si>
    <t>Need-Based Aid Ratio (%)</t>
  </si>
  <si>
    <t>Total State Financial Aid per High School Graduate ($)</t>
  </si>
  <si>
    <t>Associate Degree Earnings Premium over High School (%)</t>
  </si>
  <si>
    <t>Attainment ages 25 to 64 with Associate Degree or Higher, 2023 (%)</t>
  </si>
  <si>
    <t>SCNC Adults under 65 per 1,000 Undergraduate Students</t>
  </si>
  <si>
    <t>Bachelor’s Degree Earnings Premium over High School (%)</t>
  </si>
  <si>
    <t>Attainment ages 25 to 64 with Bachelor’s Degree or Higher, 2023 (%)</t>
  </si>
  <si>
    <t>High-Opportunity Job Openings requiring Associate's (per 1,000 working-age residents)</t>
  </si>
  <si>
    <t>High-Opportunity Job Openings requiring Bachelor’s (per 1,000 working-age residents)</t>
  </si>
  <si>
    <t>Public 2-Year Undergraduate FTE, 2019</t>
  </si>
  <si>
    <t>Public 2-Year Undergraduate FTE, 2023</t>
  </si>
  <si>
    <t>Public 2-Year Undergraduate FTE Change (number), 2019 to 2023</t>
  </si>
  <si>
    <t>Public 2-Year Undergraduate FTE Change (%), 2019 to 2023</t>
  </si>
  <si>
    <t>Public 2-Year Graduation Rate Cohort Size (count)</t>
  </si>
  <si>
    <t>Public 2-Year Retention Cohort Size Full-Time (count)</t>
  </si>
  <si>
    <t>Public 2-Year Retention Cohort Size Part-Time (count)</t>
  </si>
  <si>
    <t>Public 2-Year Graduation Rate 3-Year Rolling Average (150% time) (%)</t>
  </si>
  <si>
    <t>Public 2-Year Retention Rate Full-Time 3-Year Rolling Average (%)</t>
  </si>
  <si>
    <t>Public 2-Year Retention Rate Part-Time 3-Year Rolling Average (%)</t>
  </si>
  <si>
    <t>Public 4-Year Graduation Rate 3-Year Rolling Average (150% time) (%)</t>
  </si>
  <si>
    <t>Public 4-Year Retention Rate Full-Time 3-Year Rolling Average (%)</t>
  </si>
  <si>
    <t>Public 4-Year Retention Rate Part-Time 3-Year Rolling Average (%)</t>
  </si>
  <si>
    <t>General Public Operations ($)</t>
  </si>
  <si>
    <t>Performance-Based Funding Share of Total Public Operating (%)</t>
  </si>
  <si>
    <t>Existing Partner or SHEEO Engagement (flag)</t>
  </si>
  <si>
    <t>Contact Type (state org, intermediary, institutional leadership, researcher, faculty, etc.)</t>
  </si>
  <si>
    <t>Performance-Based Funding in 2-Year Sector (flag)</t>
  </si>
  <si>
    <t>Performance-Based Funding in 4-Year Sector (flag)</t>
  </si>
  <si>
    <t>Statewide Tuition-Free Community College Program (flag)</t>
  </si>
  <si>
    <t>Statewide Longitudinal Data System active or in construction (flag)</t>
  </si>
  <si>
    <t>Developmental Education Reform policy (flag)</t>
  </si>
  <si>
    <t>Statewide Guaranteed Transfer of Associate Degree (flag)</t>
  </si>
  <si>
    <t>State Support per FTE 10-Year Change (%), 2013 to 2023</t>
  </si>
  <si>
    <t>State Unemployment Rate, 2024 (%)</t>
  </si>
  <si>
    <t>Total Performance-Based Funding Allocation ($)</t>
  </si>
  <si>
    <t>Purpose of the Tool</t>
  </si>
  <si>
    <t>This data tool brings together state-level indicators to support the CUNY ASAP replication project. It allows users to compare states across multiple dimensions of higher education and workforce context, and to identify states with the strongest potential for ASAP expansion. The tool is meant to help the replication team:</t>
  </si>
  <si>
    <t>Explore differences across states in enrollment, attainment, student success, funding, and labor market alignment.</t>
  </si>
  <si>
    <t>Assess states against the four casemaking frameworks (economic opportunity, higher education investment, enrollment and performance, and policy readiness).</t>
  </si>
  <si>
    <t>Generate and validate shortlists of promising states for deeper engagement and case-making.</t>
  </si>
  <si>
    <t>How to Use the Tabs</t>
  </si>
  <si>
    <t>Data Sources</t>
  </si>
  <si>
    <r>
      <t>State Ranking tab</t>
    </r>
    <r>
      <rPr>
        <sz val="11"/>
        <color theme="1"/>
        <rFont val="Aptos Narrow"/>
        <family val="2"/>
        <scheme val="minor"/>
      </rPr>
      <t>: Adjust weights across the four cases to produce comparative rankings. This view is useful for narrowing states into a shortlist.</t>
    </r>
  </si>
  <si>
    <r>
      <t>State Detail</t>
    </r>
    <r>
      <rPr>
        <sz val="11"/>
        <color theme="1"/>
        <rFont val="Aptos Narrow"/>
        <family val="2"/>
        <scheme val="minor"/>
      </rPr>
      <t>: Drill down into the full set of variables for each state. This view is designed for scanning across themes and exploring state-specific profiles.</t>
    </r>
  </si>
  <si>
    <t xml:space="preserve">Public Undergraduate FTE Enrollment </t>
  </si>
  <si>
    <t>Public Institutions with Graduation Rate &lt;35% (150% time)</t>
  </si>
  <si>
    <t>Associate Degree Wage Premium vs High School</t>
  </si>
  <si>
    <t>High-Opportunity Job Openings per 1,000 Residents (Associate)</t>
  </si>
  <si>
    <t>Unemployment Rate, 2023</t>
  </si>
  <si>
    <t>Attainment Ages 25–64 with Associate Degree or Higher, 2023</t>
  </si>
  <si>
    <t>Some College, No Credential per 1,000 Undergraduate Enrollment</t>
  </si>
  <si>
    <t>Bachelor’s Degree Wage Premium vs High School</t>
  </si>
  <si>
    <t>Attainment Ages 25–64 with Bachelor’s Degree or Higher, 2023</t>
  </si>
  <si>
    <t>High-Opportunity Job Openings per 1,000 Residents (Bachelor)</t>
  </si>
  <si>
    <t>State Support per $1,000 Personal Income (Level of Effort)</t>
  </si>
  <si>
    <t>State &amp; Local Support per FTE</t>
  </si>
  <si>
    <t>State Aid per High School Graduate</t>
  </si>
  <si>
    <t>Need-Based Aid Share (%)</t>
  </si>
  <si>
    <t>State Support per FTE, 10-Year Change (%)</t>
  </si>
  <si>
    <t>State Support per $1,000 Personal Income, 10-Year Change (%)</t>
  </si>
  <si>
    <t>2-Year Publics Graduation Rate (150% Time, Average)</t>
  </si>
  <si>
    <t>2-Year Publics Retention Rate (FT, Average)</t>
  </si>
  <si>
    <t>2-Year Publics Retention Rate (PT, Average)</t>
  </si>
  <si>
    <t>4-Year Publics Graduation Rate (150% Time, Average)</t>
  </si>
  <si>
    <t>4-Year Publics Retention Rate (FT, Average)</t>
  </si>
  <si>
    <t>4-Year Publics Retention Rate (PT, Average)</t>
  </si>
  <si>
    <r>
      <t>IPEDS (Integrated Postsecondary Education Data System)</t>
    </r>
    <r>
      <rPr>
        <sz val="11"/>
        <color theme="1"/>
        <rFont val="Aptos Narrow"/>
        <family val="2"/>
        <scheme val="minor"/>
      </rPr>
      <t xml:space="preserve"> – enrollment, graduation, retention, and institutional counts.</t>
    </r>
  </si>
  <si>
    <r>
      <t>IPUMS USA (ACS data)</t>
    </r>
    <r>
      <rPr>
        <sz val="11"/>
        <color theme="1"/>
        <rFont val="Aptos Narrow"/>
        <family val="2"/>
        <scheme val="minor"/>
      </rPr>
      <t xml:space="preserve"> – attainment and population estimates.</t>
    </r>
  </si>
  <si>
    <r>
      <t>SHEF (State Higher Education Finance report, SHEEO)</t>
    </r>
    <r>
      <rPr>
        <sz val="11"/>
        <color theme="1"/>
        <rFont val="Aptos Narrow"/>
        <family val="2"/>
        <scheme val="minor"/>
      </rPr>
      <t xml:space="preserve"> – performance-based funding, state support, and level of effort.</t>
    </r>
  </si>
  <si>
    <r>
      <t>ECS (Education Commission of the States)</t>
    </r>
    <r>
      <rPr>
        <sz val="11"/>
        <color theme="1"/>
        <rFont val="Aptos Narrow"/>
        <family val="2"/>
        <scheme val="minor"/>
      </rPr>
      <t xml:space="preserve"> – 50-state policy comparisons.</t>
    </r>
  </si>
  <si>
    <r>
      <t>NSC (National Student Clearinghouse)</t>
    </r>
    <r>
      <rPr>
        <sz val="11"/>
        <color theme="1"/>
        <rFont val="Aptos Narrow"/>
        <family val="2"/>
        <scheme val="minor"/>
      </rPr>
      <t xml:space="preserve"> – “Some College, No Credential” (SCNC) data.</t>
    </r>
  </si>
  <si>
    <r>
      <t>Bureau of Labor Statistics (BLS)</t>
    </r>
    <r>
      <rPr>
        <sz val="11"/>
        <color theme="1"/>
        <rFont val="Aptos Narrow"/>
        <family val="2"/>
        <scheme val="minor"/>
      </rPr>
      <t xml:space="preserve"> – unemployment rates, labor market indicators and occupational data (Occupational Projections, OEWS, O*NET).</t>
    </r>
  </si>
  <si>
    <t>Definitions</t>
  </si>
  <si>
    <t>From SHEF. Includes state and local appropriations for higher education operating expenses. Excludes one-time federal stimulus or relief funds.</t>
  </si>
  <si>
    <t>From SHEF. Measures full-time equivalent enrollment across all public institutions in the state, including both undergraduate and graduate students.</t>
  </si>
  <si>
    <t>Calculated using ACS data. Shows the percentage increase in median annual earnings for workers with an associate or bachelor’s degree compared to workers with only a high school diploma.</t>
  </si>
  <si>
    <t>High-Opportunity Job Openings (Associate’s / Bachelor’s, per 1,000 working-age residents)</t>
  </si>
  <si>
    <t>High-opportunity jobs are defined as occupations that are above the state median on three measures: wage, projected growth, and job openings. This metric totals average annual openings across these jobs, then scales the number per 1,000 working-age residents (ages 25–64).</t>
  </si>
  <si>
    <t>SCNC = Some College, No Credential. Based on NSC data. Measures the number of adults under age 65 who have earned credits but no credential, scaled per 1,000 undergraduate students in the state.</t>
  </si>
  <si>
    <t>Graduation Rates (150% Time, 3-Year Rolling Averages)</t>
  </si>
  <si>
    <t>From IPEDS. Measures the percentage of first-time, full-time students completing a degree within 150% of normal time (e.g., three years for associate, six years for bachelor’s). Reported as sector-level averages across all public institutions.</t>
  </si>
  <si>
    <t>Retention Rates (3-Year Rolling Averages)</t>
  </si>
  <si>
    <t>From IPEDS. Measures the share of first-time students who return for a second year. Reported separately for full-time and part-time students, and as averages across all public institutions in the sector.</t>
  </si>
  <si>
    <t>Performance-Based Funding (PBF)</t>
  </si>
  <si>
    <t>A model in which some state appropriations are distributed based on outcomes such as course completions, credential production, or graduation rates. SHEF reports total allocations and share of operating funding tied to PBF; ECS reports whether PBF policies are in place for 2-year and 4-year sectors.</t>
  </si>
  <si>
    <t>Operational Budget ($)</t>
  </si>
  <si>
    <t>Refers to state operating appropriations for higher education, excluding capital expenses, debt service, and one-time federal funds.</t>
  </si>
  <si>
    <r>
      <rPr>
        <b/>
        <sz val="11"/>
        <color theme="1"/>
        <rFont val="Aptos Narrow"/>
        <family val="2"/>
        <scheme val="minor"/>
      </rPr>
      <t>All Data</t>
    </r>
    <r>
      <rPr>
        <sz val="11"/>
        <color theme="1"/>
        <rFont val="Aptos Narrow"/>
        <family val="2"/>
        <scheme val="minor"/>
      </rPr>
      <t>: Displays the raw dataset underlying the exploratory tab. This tab includes all variables in a clean, descriptive format and can be used for custom analysis or export.</t>
    </r>
  </si>
  <si>
    <t>From SHEF, measure of "level of effort". ” Reflects state and local higher education support relative to residents’ total personal income.</t>
  </si>
  <si>
    <t>Operational Budget for Higher Education</t>
  </si>
  <si>
    <t>4-Year Publics UG FTE Enrollment Change (%), 2019–23</t>
  </si>
  <si>
    <t>2-Year Publics UG FTE Enrollment, 2019</t>
  </si>
  <si>
    <t>2-Year Publics UG FTE Enrollment, 2023</t>
  </si>
  <si>
    <t>2-Year Publics UG FTE Enrollment Change (%), 2019–23</t>
  </si>
  <si>
    <t>Tuition-free comm college program?</t>
  </si>
  <si>
    <t>Outcomes-based funding policy for 4-Year publics</t>
  </si>
  <si>
    <t>PBF as Percent of State Higher Ed Operational Budget</t>
  </si>
  <si>
    <t>Governance (as of April 2025)</t>
  </si>
  <si>
    <t>Gov partisan affiliation</t>
  </si>
  <si>
    <t>MAAPS Presence in State?</t>
  </si>
  <si>
    <t>ASAP Presence in State?</t>
  </si>
  <si>
    <t>Inside Track Presence in State?</t>
  </si>
  <si>
    <t>Stay the Course Presence in State?</t>
  </si>
  <si>
    <t>Project Quest Presence in State?</t>
  </si>
  <si>
    <t>One Million Degrees Presence in State?</t>
  </si>
  <si>
    <t>Additional Student Success Interventions</t>
  </si>
  <si>
    <t>Job Path-Sister Organization, Arizona Career Pathways- Sister Organization</t>
  </si>
  <si>
    <t/>
  </si>
  <si>
    <t>Project IOWA- Sister Organization</t>
  </si>
  <si>
    <t>NOVA- Sister Organization</t>
  </si>
  <si>
    <t>VIDA- Sister Organization, Project ARRIBA- Sister Organization, Capital Idea Houston- Sister Organization</t>
  </si>
  <si>
    <t>Presence of CASS Program in State?</t>
  </si>
  <si>
    <t>MAAPS</t>
  </si>
  <si>
    <t>Inside Track</t>
  </si>
  <si>
    <t>CUNY ASAP</t>
  </si>
  <si>
    <t>Stay the Course</t>
  </si>
  <si>
    <t>Project Quest</t>
  </si>
  <si>
    <t>One Million Degrees</t>
  </si>
  <si>
    <t>Additional CASS Program(s)</t>
  </si>
  <si>
    <t xml:space="preserve"> CUNY_ASAP</t>
  </si>
  <si>
    <t>TICAS (CASS Inventory)</t>
  </si>
  <si>
    <t>CASS Program</t>
  </si>
  <si>
    <t>Comprehensive Approaches to Student Success programs</t>
  </si>
  <si>
    <t>Contact with CUNY ASAP Replication Team? (Spring 2025)</t>
  </si>
  <si>
    <t>Contact with CUNY ASAP Replication Team? (Through Spring 2025)</t>
  </si>
  <si>
    <t>Existing CUNY ASAP partner and/or SHEEO|ASAP learning community participant</t>
  </si>
  <si>
    <t>Partner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</si>
</sst>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_(* \(#,##0.00\);_(* &quot;-&quot;??_);_(@_)"/>
    <numFmt numFmtId="164" formatCode="0.0%"/>
    <numFmt numFmtId="165" formatCode="&quot;$&quot;#,##0.00"/>
    <numFmt numFmtId="166" formatCode="&quot;$&quot;#,##0"/>
    <numFmt numFmtId="167" formatCode="_(* #,##0_);_(* \(#,##0\);_(* &quot;-&quot;??_);_(@_)"/>
    <numFmt numFmtId="168" formatCode="0.0"/>
    <numFmt numFmtId="169" formatCode="mmm\-d"/>
  </numFmts>
  <fonts count="28" x14ac:knownFonts="1">
    <font>
      <sz val="11"/>
      <color theme="1"/>
      <name val="Aptos Narrow"/>
      <family val="2"/>
      <scheme val="minor"/>
    </font>
    <font>
      <b/>
      <sz val="11"/>
      <color theme="1"/>
      <name val="Calibri"/>
      <family val="2"/>
    </font>
    <font>
      <b/>
      <sz val="12"/>
      <color theme="1"/>
      <name val="Calibri"/>
      <family val="2"/>
    </font>
    <font>
      <sz val="11"/>
      <color theme="1"/>
      <name val="Calibri"/>
      <family val="2"/>
    </font>
    <font>
      <b/>
      <sz val="14"/>
      <color theme="0"/>
      <name val="Calibri"/>
      <family val="2"/>
    </font>
    <font>
      <b/>
      <sz val="28"/>
      <color theme="0"/>
      <name val="Calibri"/>
      <family val="2"/>
    </font>
    <font>
      <i/>
      <sz val="11"/>
      <color theme="1"/>
      <name val="Calibri"/>
      <family val="2"/>
    </font>
    <font>
      <b/>
      <i/>
      <sz val="14"/>
      <color theme="1"/>
      <name val="Calibri"/>
      <family val="2"/>
    </font>
    <font>
      <sz val="11"/>
      <color theme="1"/>
      <name val="Aptos Narrow"/>
      <family val="2"/>
      <scheme val="minor"/>
    </font>
    <font>
      <b/>
      <sz val="11"/>
      <name val="Calibri"/>
      <family val="2"/>
    </font>
    <font>
      <b/>
      <sz val="10"/>
      <name val="Aptos Narrow"/>
      <family val="2"/>
      <scheme val="minor"/>
    </font>
    <font>
      <b/>
      <sz val="10"/>
      <color theme="1"/>
      <name val="Aptos Narrow"/>
      <family val="2"/>
      <scheme val="minor"/>
    </font>
    <font>
      <sz val="10"/>
      <color theme="1"/>
      <name val="Aptos Narrow"/>
      <family val="2"/>
      <scheme val="minor"/>
    </font>
    <font>
      <sz val="10"/>
      <color theme="1"/>
      <name val="Calibri"/>
      <family val="2"/>
    </font>
    <font>
      <sz val="11"/>
      <color rgb="FF000000"/>
      <name val="Calibri"/>
      <family val="2"/>
    </font>
    <font>
      <b/>
      <sz val="11"/>
      <color theme="1"/>
      <name val="Aptos Narrow"/>
      <family val="2"/>
      <scheme val="minor"/>
    </font>
    <font>
      <b/>
      <i/>
      <sz val="11"/>
      <color theme="1"/>
      <name val="Aptos Narrow"/>
      <family val="2"/>
      <scheme val="minor"/>
    </font>
    <font>
      <sz val="11"/>
      <color theme="0"/>
      <name val="Aptos Narrow"/>
      <family val="2"/>
      <scheme val="minor"/>
    </font>
    <font>
      <sz val="10"/>
      <color rgb="FF000000"/>
      <name val="Aptos Narrow"/>
      <family val="2"/>
      <scheme val="minor"/>
    </font>
    <font>
      <b/>
      <sz val="10"/>
      <color theme="1"/>
      <name val="Calibri"/>
      <family val="2"/>
    </font>
    <font>
      <sz val="10"/>
      <color rgb="FF000000"/>
      <name val="Calibri"/>
      <family val="2"/>
    </font>
    <font>
      <b/>
      <sz val="10"/>
      <name val="Calibri"/>
      <family val="2"/>
    </font>
    <font>
      <sz val="8"/>
      <name val="Aptos Narrow"/>
      <family val="2"/>
      <scheme val="minor"/>
    </font>
    <font>
      <b/>
      <sz val="18"/>
      <color theme="1"/>
      <name val="Aptos Narrow"/>
      <family val="2"/>
      <scheme val="minor"/>
    </font>
    <font>
      <sz val="16"/>
      <color theme="1"/>
      <name val="Calibri"/>
      <family val="2"/>
    </font>
    <font>
      <i/>
      <sz val="16"/>
      <color theme="1"/>
      <name val="Calibri"/>
      <family val="2"/>
    </font>
    <font>
      <b/>
      <i/>
      <sz val="16"/>
      <color theme="1"/>
      <name val="Calibri"/>
      <family val="2"/>
    </font>
    <font>
      <b/>
      <sz val="20"/>
      <color theme="0"/>
      <name val="Calibri"/>
      <family val="2"/>
    </font>
  </fonts>
  <fills count="14">
    <fill>
      <patternFill patternType="none"/>
    </fill>
    <fill>
      <patternFill patternType="gray125"/>
    </fill>
    <fill>
      <patternFill patternType="solid">
        <fgColor theme="3" tint="0.89999084444715716"/>
        <bgColor indexed="64"/>
      </patternFill>
    </fill>
    <fill>
      <patternFill patternType="solid">
        <fgColor theme="4"/>
        <bgColor indexed="64"/>
      </patternFill>
    </fill>
    <fill>
      <patternFill patternType="solid">
        <fgColor theme="0" tint="-4.9989318521683403E-2"/>
        <bgColor indexed="64"/>
      </patternFill>
    </fill>
    <fill>
      <patternFill patternType="solid">
        <fgColor theme="3" tint="0.749992370372631"/>
        <bgColor indexed="64"/>
      </patternFill>
    </fill>
    <fill>
      <patternFill patternType="solid">
        <fgColor theme="0" tint="-0.14999847407452621"/>
        <bgColor indexed="64"/>
      </patternFill>
    </fill>
    <fill>
      <patternFill patternType="solid">
        <fgColor theme="2"/>
        <bgColor indexed="64"/>
      </patternFill>
    </fill>
    <fill>
      <patternFill patternType="solid">
        <fgColor theme="1"/>
        <bgColor indexed="64"/>
      </patternFill>
    </fill>
    <fill>
      <patternFill patternType="solid">
        <fgColor rgb="FFFFFFFF"/>
        <bgColor rgb="FFFFFFFF"/>
      </patternFill>
    </fill>
    <fill>
      <patternFill patternType="solid">
        <fgColor theme="2" tint="-4.9989318521683403E-2"/>
        <bgColor indexed="64"/>
      </patternFill>
    </fill>
    <fill>
      <patternFill patternType="solid">
        <fgColor theme="2" tint="-4.9989318521683403E-2"/>
        <bgColor rgb="FFCFE2F3"/>
      </patternFill>
    </fill>
    <fill>
      <patternFill patternType="solid">
        <fgColor theme="2" tint="-9.9978637043366805E-2"/>
        <bgColor indexed="64"/>
      </patternFill>
    </fill>
    <fill>
      <patternFill patternType="solid">
        <fgColor rgb="FFF6F8F9"/>
        <bgColor rgb="FFF6F8F9"/>
      </patternFill>
    </fill>
  </fills>
  <borders count="1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rgb="FF0E1838"/>
      </left>
      <right style="thin">
        <color rgb="FF13204A"/>
      </right>
      <top style="thin">
        <color rgb="FF0E1838"/>
      </top>
      <bottom style="thin">
        <color rgb="FF0E1838"/>
      </bottom>
      <diagonal/>
    </border>
    <border>
      <left style="thin">
        <color rgb="FF13204A"/>
      </left>
      <right style="thin">
        <color rgb="FF13204A"/>
      </right>
      <top style="thin">
        <color rgb="FF0E1838"/>
      </top>
      <bottom style="thin">
        <color rgb="FF0E1838"/>
      </bottom>
      <diagonal/>
    </border>
    <border>
      <left style="thin">
        <color rgb="FF13204A"/>
      </left>
      <right style="thin">
        <color rgb="FF0E1838"/>
      </right>
      <top style="thin">
        <color rgb="FF0E1838"/>
      </top>
      <bottom style="thin">
        <color rgb="FF0E1838"/>
      </bottom>
      <diagonal/>
    </border>
    <border>
      <left style="thin">
        <color rgb="FF0E1838"/>
      </left>
      <right style="thin">
        <color rgb="FFFFFFFF"/>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style="thin">
        <color rgb="FF0E1838"/>
      </right>
      <top style="thin">
        <color rgb="FFFFFFFF"/>
      </top>
      <bottom style="thin">
        <color rgb="FFFFFFFF"/>
      </bottom>
      <diagonal/>
    </border>
    <border>
      <left style="thin">
        <color rgb="FF0E1838"/>
      </left>
      <right style="thin">
        <color rgb="FFF6F8F9"/>
      </right>
      <top style="thin">
        <color rgb="FFF6F8F9"/>
      </top>
      <bottom style="thin">
        <color rgb="FFF6F8F9"/>
      </bottom>
      <diagonal/>
    </border>
    <border>
      <left style="thin">
        <color rgb="FFF6F8F9"/>
      </left>
      <right style="thin">
        <color rgb="FFF6F8F9"/>
      </right>
      <top style="thin">
        <color rgb="FFF6F8F9"/>
      </top>
      <bottom style="thin">
        <color rgb="FFF6F8F9"/>
      </bottom>
      <diagonal/>
    </border>
    <border>
      <left style="thin">
        <color rgb="FFF6F8F9"/>
      </left>
      <right style="thin">
        <color rgb="FF0E1838"/>
      </right>
      <top style="thin">
        <color rgb="FFF6F8F9"/>
      </top>
      <bottom style="thin">
        <color rgb="FFF6F8F9"/>
      </bottom>
      <diagonal/>
    </border>
    <border>
      <left style="thin">
        <color rgb="FF0E1838"/>
      </left>
      <right style="thin">
        <color rgb="FFF6F8F9"/>
      </right>
      <top style="thin">
        <color rgb="FFF6F8F9"/>
      </top>
      <bottom style="thin">
        <color rgb="FF0E1838"/>
      </bottom>
      <diagonal/>
    </border>
    <border>
      <left style="thin">
        <color rgb="FFF6F8F9"/>
      </left>
      <right style="thin">
        <color rgb="FFF6F8F9"/>
      </right>
      <top style="thin">
        <color rgb="FFF6F8F9"/>
      </top>
      <bottom style="thin">
        <color rgb="FF0E1838"/>
      </bottom>
      <diagonal/>
    </border>
    <border>
      <left style="thin">
        <color rgb="FFF6F8F9"/>
      </left>
      <right style="thin">
        <color rgb="FF0E1838"/>
      </right>
      <top style="thin">
        <color rgb="FFF6F8F9"/>
      </top>
      <bottom style="thin">
        <color rgb="FF0E1838"/>
      </bottom>
      <diagonal/>
    </border>
    <border>
      <left style="thin">
        <color rgb="FFE4E2E0"/>
      </left>
      <right/>
      <top/>
      <bottom style="thin">
        <color rgb="FFE4E2E0"/>
      </bottom>
      <diagonal/>
    </border>
    <border>
      <left style="thin">
        <color rgb="FFE4E2E0"/>
      </left>
      <right style="thin">
        <color rgb="FFE4E2E0"/>
      </right>
      <top style="thin">
        <color rgb="FFE4E2E0"/>
      </top>
      <bottom/>
      <diagonal/>
    </border>
    <border>
      <left style="thin">
        <color rgb="FFE4E2E0"/>
      </left>
      <right style="thin">
        <color rgb="FFE4E2E0"/>
      </right>
      <top style="thin">
        <color rgb="FFE4E2E0"/>
      </top>
      <bottom style="thin">
        <color rgb="FFE4E2E0"/>
      </bottom>
      <diagonal/>
    </border>
    <border>
      <left/>
      <right/>
      <top style="thin">
        <color indexed="64"/>
      </top>
      <bottom/>
      <diagonal/>
    </border>
  </borders>
  <cellStyleXfs count="4">
    <xf numFmtId="0" fontId="0" fillId="0" borderId="0"/>
    <xf numFmtId="43" fontId="8" fillId="0" borderId="0" applyFont="0" applyFill="0" applyBorder="0" applyAlignment="0" applyProtection="0"/>
    <xf numFmtId="9" fontId="8" fillId="0" borderId="0" applyFont="0" applyFill="0" applyBorder="0" applyAlignment="0" applyProtection="0"/>
    <xf numFmtId="0" fontId="18" fillId="0" borderId="0"/>
  </cellStyleXfs>
  <cellXfs count="247">
    <xf numFmtId="0" fontId="0" fillId="0" borderId="0" xfId="0"/>
    <xf numFmtId="0" fontId="3" fillId="0" borderId="0" xfId="0" applyFont="1" applyAlignment="1">
      <alignment vertical="center"/>
    </xf>
    <xf numFmtId="164" fontId="3" fillId="0" borderId="0" xfId="0" applyNumberFormat="1" applyFont="1" applyAlignment="1">
      <alignment vertical="center"/>
    </xf>
    <xf numFmtId="0" fontId="3" fillId="0" borderId="0" xfId="0" applyFont="1" applyAlignment="1">
      <alignment horizontal="center" vertical="center"/>
    </xf>
    <xf numFmtId="0" fontId="1" fillId="0" borderId="0" xfId="0" applyFont="1" applyAlignment="1">
      <alignment horizontal="center" vertical="center"/>
    </xf>
    <xf numFmtId="0" fontId="2" fillId="0" borderId="0" xfId="0" applyFont="1" applyAlignment="1">
      <alignment horizontal="left" vertical="center"/>
    </xf>
    <xf numFmtId="0" fontId="3" fillId="2" borderId="0" xfId="0" applyFont="1" applyFill="1" applyAlignment="1">
      <alignment vertical="center"/>
    </xf>
    <xf numFmtId="0" fontId="1" fillId="0" borderId="0" xfId="0" applyFont="1" applyAlignment="1">
      <alignment vertical="center"/>
    </xf>
    <xf numFmtId="10" fontId="3" fillId="0" borderId="0" xfId="0" applyNumberFormat="1" applyFont="1" applyAlignment="1">
      <alignment vertical="center"/>
    </xf>
    <xf numFmtId="0" fontId="1" fillId="4" borderId="0" xfId="0" applyFont="1" applyFill="1" applyAlignment="1">
      <alignment vertical="center"/>
    </xf>
    <xf numFmtId="0" fontId="3" fillId="4" borderId="0" xfId="0" applyFont="1" applyFill="1" applyAlignment="1">
      <alignment vertical="center"/>
    </xf>
    <xf numFmtId="10" fontId="1" fillId="0" borderId="0" xfId="0" applyNumberFormat="1" applyFont="1" applyAlignment="1">
      <alignment vertical="center"/>
    </xf>
    <xf numFmtId="0" fontId="3" fillId="0" borderId="0" xfId="0" applyFont="1" applyAlignment="1">
      <alignment vertical="center" wrapText="1"/>
    </xf>
    <xf numFmtId="0" fontId="3" fillId="0" borderId="0" xfId="0" applyFont="1" applyAlignment="1">
      <alignment horizontal="right" vertical="center"/>
    </xf>
    <xf numFmtId="0" fontId="1" fillId="6" borderId="0" xfId="0" applyFont="1" applyFill="1" applyAlignment="1">
      <alignment vertical="center"/>
    </xf>
    <xf numFmtId="0" fontId="1" fillId="6" borderId="1" xfId="0" applyFont="1" applyFill="1" applyBorder="1" applyAlignment="1">
      <alignment vertical="center"/>
    </xf>
    <xf numFmtId="0" fontId="6" fillId="0" borderId="0" xfId="0" applyFont="1" applyAlignment="1">
      <alignment horizontal="left" vertical="center"/>
    </xf>
    <xf numFmtId="0" fontId="6" fillId="0" borderId="0" xfId="0" applyFont="1" applyAlignment="1">
      <alignment vertical="center"/>
    </xf>
    <xf numFmtId="0" fontId="1" fillId="0" borderId="0" xfId="0" applyFont="1" applyAlignment="1">
      <alignment horizontal="left" vertical="center"/>
    </xf>
    <xf numFmtId="0" fontId="3" fillId="0" borderId="0" xfId="0" applyFont="1" applyAlignment="1">
      <alignment horizontal="center" vertical="center" wrapText="1"/>
    </xf>
    <xf numFmtId="0" fontId="9" fillId="7" borderId="0" xfId="0" applyFont="1" applyFill="1" applyAlignment="1">
      <alignment horizontal="left" vertical="center" wrapText="1"/>
    </xf>
    <xf numFmtId="164" fontId="13" fillId="0" borderId="0" xfId="2" applyNumberFormat="1" applyFont="1" applyBorder="1"/>
    <xf numFmtId="167" fontId="13" fillId="0" borderId="0" xfId="1" applyNumberFormat="1" applyFont="1" applyFill="1" applyBorder="1"/>
    <xf numFmtId="1" fontId="13" fillId="0" borderId="0" xfId="0" applyNumberFormat="1" applyFont="1"/>
    <xf numFmtId="2" fontId="0" fillId="0" borderId="0" xfId="0" applyNumberFormat="1"/>
    <xf numFmtId="0" fontId="10" fillId="7" borderId="0" xfId="0" applyFont="1" applyFill="1" applyAlignment="1">
      <alignment horizontal="left" vertical="center" wrapText="1"/>
    </xf>
    <xf numFmtId="165" fontId="10" fillId="7" borderId="0" xfId="0" applyNumberFormat="1" applyFont="1" applyFill="1" applyAlignment="1">
      <alignment horizontal="left" vertical="center" wrapText="1"/>
    </xf>
    <xf numFmtId="0" fontId="9" fillId="8" borderId="0" xfId="0" quotePrefix="1" applyFont="1" applyFill="1" applyAlignment="1">
      <alignment horizontal="center" vertical="center" wrapText="1"/>
    </xf>
    <xf numFmtId="0" fontId="0" fillId="0" borderId="0" xfId="0" applyAlignment="1">
      <alignment wrapText="1"/>
    </xf>
    <xf numFmtId="0" fontId="11" fillId="0" borderId="0" xfId="0" applyFont="1" applyAlignment="1">
      <alignment horizontal="center" vertical="center"/>
    </xf>
    <xf numFmtId="0" fontId="12" fillId="0" borderId="0" xfId="0" applyFont="1" applyAlignment="1">
      <alignment horizontal="center" vertical="center"/>
    </xf>
    <xf numFmtId="165" fontId="14" fillId="8" borderId="0" xfId="0" applyNumberFormat="1" applyFont="1" applyFill="1" applyAlignment="1">
      <alignment horizontal="center" vertical="center"/>
    </xf>
    <xf numFmtId="4" fontId="0" fillId="0" borderId="0" xfId="0" applyNumberFormat="1"/>
    <xf numFmtId="165" fontId="0" fillId="8" borderId="0" xfId="0" applyNumberFormat="1" applyFill="1"/>
    <xf numFmtId="0" fontId="0" fillId="8" borderId="0" xfId="0" applyFill="1"/>
    <xf numFmtId="10" fontId="10" fillId="7" borderId="0" xfId="0" applyNumberFormat="1" applyFont="1" applyFill="1" applyAlignment="1">
      <alignment horizontal="left" vertical="center" wrapText="1"/>
    </xf>
    <xf numFmtId="0" fontId="15" fillId="0" borderId="0" xfId="0" applyFont="1"/>
    <xf numFmtId="168" fontId="0" fillId="0" borderId="0" xfId="0" applyNumberFormat="1"/>
    <xf numFmtId="0" fontId="0" fillId="0" borderId="0" xfId="0" applyAlignment="1">
      <alignment horizontal="center" vertical="center"/>
    </xf>
    <xf numFmtId="1" fontId="0" fillId="0" borderId="0" xfId="0" applyNumberFormat="1" applyAlignment="1">
      <alignment horizontal="center" vertical="center"/>
    </xf>
    <xf numFmtId="2" fontId="0" fillId="0" borderId="0" xfId="0" applyNumberFormat="1" applyAlignment="1">
      <alignment horizontal="center" vertical="center"/>
    </xf>
    <xf numFmtId="0" fontId="0" fillId="0" borderId="0" xfId="0" applyAlignment="1">
      <alignment horizontal="left" vertical="center"/>
    </xf>
    <xf numFmtId="0" fontId="15" fillId="4" borderId="1" xfId="0" applyFont="1" applyFill="1" applyBorder="1" applyAlignment="1">
      <alignment horizontal="center" vertical="center"/>
    </xf>
    <xf numFmtId="0" fontId="15" fillId="4" borderId="1" xfId="0" applyFont="1" applyFill="1" applyBorder="1" applyAlignment="1">
      <alignment horizontal="center" vertical="center" wrapText="1"/>
    </xf>
    <xf numFmtId="0" fontId="16" fillId="0" borderId="0" xfId="0" applyFont="1" applyAlignment="1">
      <alignment horizontal="center" vertical="center"/>
    </xf>
    <xf numFmtId="0" fontId="0" fillId="2" borderId="2" xfId="0" applyFill="1" applyBorder="1" applyAlignment="1">
      <alignment horizontal="center" vertical="center"/>
    </xf>
    <xf numFmtId="0" fontId="17" fillId="0" borderId="0" xfId="0" applyFont="1"/>
    <xf numFmtId="0" fontId="17" fillId="0" borderId="0" xfId="0" applyFont="1" applyAlignment="1">
      <alignment horizontal="center" wrapText="1"/>
    </xf>
    <xf numFmtId="0" fontId="13" fillId="0" borderId="0" xfId="0" applyFont="1" applyAlignment="1">
      <alignment wrapText="1"/>
    </xf>
    <xf numFmtId="0" fontId="13" fillId="0" borderId="0" xfId="0" applyFont="1"/>
    <xf numFmtId="0" fontId="13" fillId="0" borderId="0" xfId="0" applyFont="1" applyAlignment="1">
      <alignment horizontal="center" vertical="center"/>
    </xf>
    <xf numFmtId="166" fontId="13" fillId="0" borderId="0" xfId="0" applyNumberFormat="1" applyFont="1" applyAlignment="1">
      <alignment horizontal="center" vertical="center"/>
    </xf>
    <xf numFmtId="3" fontId="13" fillId="0" borderId="0" xfId="0" applyNumberFormat="1" applyFont="1" applyAlignment="1">
      <alignment horizontal="center" vertical="center"/>
    </xf>
    <xf numFmtId="165" fontId="13" fillId="0" borderId="0" xfId="0" applyNumberFormat="1" applyFont="1" applyAlignment="1">
      <alignment horizontal="center" vertical="center"/>
    </xf>
    <xf numFmtId="10" fontId="13" fillId="0" borderId="0" xfId="0" applyNumberFormat="1" applyFont="1" applyAlignment="1">
      <alignment vertical="center"/>
    </xf>
    <xf numFmtId="166" fontId="13" fillId="0" borderId="0" xfId="0" applyNumberFormat="1" applyFont="1"/>
    <xf numFmtId="10" fontId="13" fillId="0" borderId="0" xfId="0" applyNumberFormat="1" applyFont="1" applyAlignment="1">
      <alignment wrapText="1"/>
    </xf>
    <xf numFmtId="43" fontId="13" fillId="0" borderId="0" xfId="0" applyNumberFormat="1" applyFont="1"/>
    <xf numFmtId="164" fontId="13" fillId="0" borderId="0" xfId="0" applyNumberFormat="1" applyFont="1"/>
    <xf numFmtId="164" fontId="13" fillId="0" borderId="0" xfId="2" applyNumberFormat="1" applyFont="1" applyFill="1" applyBorder="1"/>
    <xf numFmtId="165" fontId="13" fillId="0" borderId="0" xfId="0" applyNumberFormat="1" applyFont="1"/>
    <xf numFmtId="0" fontId="13" fillId="0" borderId="0" xfId="0" applyFont="1" applyAlignment="1">
      <alignment horizontal="center" wrapText="1"/>
    </xf>
    <xf numFmtId="165" fontId="10" fillId="4" borderId="0" xfId="0" applyNumberFormat="1" applyFont="1" applyFill="1" applyAlignment="1">
      <alignment horizontal="left" vertical="center" wrapText="1"/>
    </xf>
    <xf numFmtId="0" fontId="19" fillId="11" borderId="15" xfId="3" applyFont="1" applyFill="1" applyBorder="1" applyAlignment="1">
      <alignment horizontal="center" vertical="top" wrapText="1"/>
    </xf>
    <xf numFmtId="0" fontId="13" fillId="9" borderId="16" xfId="3" applyFont="1" applyFill="1" applyBorder="1" applyAlignment="1">
      <alignment vertical="top"/>
    </xf>
    <xf numFmtId="0" fontId="13" fillId="9" borderId="17" xfId="3" applyFont="1" applyFill="1" applyBorder="1" applyAlignment="1">
      <alignment vertical="top"/>
    </xf>
    <xf numFmtId="0" fontId="13" fillId="0" borderId="0" xfId="3" applyFont="1"/>
    <xf numFmtId="0" fontId="19" fillId="10" borderId="0" xfId="0" applyFont="1" applyFill="1" applyAlignment="1">
      <alignment horizontal="center" wrapText="1"/>
    </xf>
    <xf numFmtId="165" fontId="19" fillId="10" borderId="0" xfId="0" applyNumberFormat="1" applyFont="1" applyFill="1" applyAlignment="1">
      <alignment horizontal="center" wrapText="1"/>
    </xf>
    <xf numFmtId="0" fontId="19" fillId="10" borderId="3" xfId="3" applyFont="1" applyFill="1" applyBorder="1" applyAlignment="1">
      <alignment horizontal="left" vertical="center" wrapText="1"/>
    </xf>
    <xf numFmtId="0" fontId="19" fillId="10" borderId="4" xfId="3" applyFont="1" applyFill="1" applyBorder="1" applyAlignment="1">
      <alignment horizontal="left" vertical="center" wrapText="1"/>
    </xf>
    <xf numFmtId="0" fontId="13" fillId="10" borderId="4" xfId="3" applyFont="1" applyFill="1" applyBorder="1" applyAlignment="1">
      <alignment horizontal="left" vertical="center" wrapText="1"/>
    </xf>
    <xf numFmtId="165" fontId="19" fillId="10" borderId="4" xfId="3" applyNumberFormat="1" applyFont="1" applyFill="1" applyBorder="1" applyAlignment="1">
      <alignment horizontal="left" vertical="center" wrapText="1"/>
    </xf>
    <xf numFmtId="10" fontId="19" fillId="10" borderId="4" xfId="3" applyNumberFormat="1" applyFont="1" applyFill="1" applyBorder="1" applyAlignment="1">
      <alignment horizontal="left" vertical="center" wrapText="1"/>
    </xf>
    <xf numFmtId="0" fontId="20" fillId="10" borderId="0" xfId="3" applyFont="1" applyFill="1"/>
    <xf numFmtId="0" fontId="19" fillId="0" borderId="6" xfId="3" applyFont="1" applyBorder="1" applyAlignment="1">
      <alignment horizontal="center" vertical="center"/>
    </xf>
    <xf numFmtId="0" fontId="13" fillId="0" borderId="7" xfId="3" applyFont="1" applyBorder="1" applyAlignment="1">
      <alignment horizontal="center" vertical="center"/>
    </xf>
    <xf numFmtId="0" fontId="13" fillId="0" borderId="7" xfId="3" applyFont="1" applyBorder="1" applyAlignment="1">
      <alignment horizontal="left" vertical="center"/>
    </xf>
    <xf numFmtId="166" fontId="20" fillId="0" borderId="7" xfId="3" applyNumberFormat="1" applyFont="1" applyBorder="1" applyAlignment="1">
      <alignment horizontal="center" vertical="center"/>
    </xf>
    <xf numFmtId="10" fontId="20" fillId="0" borderId="7" xfId="3" applyNumberFormat="1" applyFont="1" applyBorder="1" applyAlignment="1">
      <alignment vertical="center"/>
    </xf>
    <xf numFmtId="3" fontId="13" fillId="0" borderId="7" xfId="3" applyNumberFormat="1" applyFont="1" applyBorder="1" applyAlignment="1">
      <alignment horizontal="center" vertical="center"/>
    </xf>
    <xf numFmtId="0" fontId="20" fillId="0" borderId="7" xfId="3" applyFont="1" applyBorder="1" applyAlignment="1">
      <alignment horizontal="center" vertical="center"/>
    </xf>
    <xf numFmtId="10" fontId="20" fillId="0" borderId="7" xfId="3" applyNumberFormat="1" applyFont="1" applyBorder="1" applyAlignment="1">
      <alignment horizontal="center" vertical="center"/>
    </xf>
    <xf numFmtId="2" fontId="13" fillId="0" borderId="7" xfId="3" applyNumberFormat="1" applyFont="1" applyBorder="1" applyAlignment="1">
      <alignment vertical="center"/>
    </xf>
    <xf numFmtId="0" fontId="20" fillId="0" borderId="0" xfId="3" applyFont="1"/>
    <xf numFmtId="0" fontId="19" fillId="0" borderId="9" xfId="3" applyFont="1" applyBorder="1" applyAlignment="1">
      <alignment horizontal="center" vertical="center"/>
    </xf>
    <xf numFmtId="0" fontId="13" fillId="0" borderId="10" xfId="3" applyFont="1" applyBorder="1" applyAlignment="1">
      <alignment horizontal="center" vertical="center"/>
    </xf>
    <xf numFmtId="0" fontId="13" fillId="0" borderId="10" xfId="3" applyFont="1" applyBorder="1" applyAlignment="1">
      <alignment horizontal="left" vertical="center"/>
    </xf>
    <xf numFmtId="166" fontId="20" fillId="0" borderId="10" xfId="3" applyNumberFormat="1" applyFont="1" applyBorder="1" applyAlignment="1">
      <alignment horizontal="center" vertical="center"/>
    </xf>
    <xf numFmtId="10" fontId="20" fillId="0" borderId="10" xfId="3" applyNumberFormat="1" applyFont="1" applyBorder="1" applyAlignment="1">
      <alignment vertical="center"/>
    </xf>
    <xf numFmtId="3" fontId="13" fillId="0" borderId="10" xfId="3" applyNumberFormat="1" applyFont="1" applyBorder="1" applyAlignment="1">
      <alignment horizontal="center" vertical="center"/>
    </xf>
    <xf numFmtId="0" fontId="20" fillId="0" borderId="10" xfId="3" applyFont="1" applyBorder="1" applyAlignment="1">
      <alignment horizontal="center" vertical="center"/>
    </xf>
    <xf numFmtId="10" fontId="20" fillId="0" borderId="10" xfId="3" applyNumberFormat="1" applyFont="1" applyBorder="1" applyAlignment="1">
      <alignment horizontal="center" vertical="center"/>
    </xf>
    <xf numFmtId="2" fontId="13" fillId="0" borderId="10" xfId="3" applyNumberFormat="1" applyFont="1" applyBorder="1" applyAlignment="1">
      <alignment vertical="center"/>
    </xf>
    <xf numFmtId="169" fontId="13" fillId="0" borderId="10" xfId="3" applyNumberFormat="1" applyFont="1" applyBorder="1" applyAlignment="1">
      <alignment horizontal="left" vertical="center"/>
    </xf>
    <xf numFmtId="169" fontId="13" fillId="0" borderId="7" xfId="3" applyNumberFormat="1" applyFont="1" applyBorder="1" applyAlignment="1">
      <alignment horizontal="left" vertical="center"/>
    </xf>
    <xf numFmtId="0" fontId="19" fillId="0" borderId="12" xfId="3" applyFont="1" applyBorder="1" applyAlignment="1">
      <alignment horizontal="center" vertical="center"/>
    </xf>
    <xf numFmtId="0" fontId="13" fillId="0" borderId="13" xfId="3" applyFont="1" applyBorder="1" applyAlignment="1">
      <alignment horizontal="center" vertical="center"/>
    </xf>
    <xf numFmtId="0" fontId="13" fillId="0" borderId="13" xfId="3" applyFont="1" applyBorder="1" applyAlignment="1">
      <alignment horizontal="left" vertical="center"/>
    </xf>
    <xf numFmtId="166" fontId="20" fillId="0" borderId="13" xfId="3" applyNumberFormat="1" applyFont="1" applyBorder="1" applyAlignment="1">
      <alignment horizontal="center" vertical="center"/>
    </xf>
    <xf numFmtId="10" fontId="20" fillId="0" borderId="13" xfId="3" applyNumberFormat="1" applyFont="1" applyBorder="1" applyAlignment="1">
      <alignment vertical="center"/>
    </xf>
    <xf numFmtId="3" fontId="13" fillId="0" borderId="13" xfId="3" applyNumberFormat="1" applyFont="1" applyBorder="1" applyAlignment="1">
      <alignment horizontal="center" vertical="center"/>
    </xf>
    <xf numFmtId="0" fontId="20" fillId="0" borderId="13" xfId="3" applyFont="1" applyBorder="1" applyAlignment="1">
      <alignment horizontal="center" vertical="center"/>
    </xf>
    <xf numFmtId="10" fontId="20" fillId="0" borderId="13" xfId="3" applyNumberFormat="1" applyFont="1" applyBorder="1" applyAlignment="1">
      <alignment horizontal="center" vertical="center"/>
    </xf>
    <xf numFmtId="2" fontId="13" fillId="0" borderId="13" xfId="3" applyNumberFormat="1" applyFont="1" applyBorder="1" applyAlignment="1">
      <alignment vertical="center"/>
    </xf>
    <xf numFmtId="0" fontId="21" fillId="10" borderId="4" xfId="3" applyFont="1" applyFill="1" applyBorder="1" applyAlignment="1">
      <alignment horizontal="left" vertical="center" wrapText="1"/>
    </xf>
    <xf numFmtId="10" fontId="21" fillId="10" borderId="4" xfId="3" applyNumberFormat="1" applyFont="1" applyFill="1" applyBorder="1" applyAlignment="1">
      <alignment horizontal="left" vertical="center" wrapText="1"/>
    </xf>
    <xf numFmtId="0" fontId="21" fillId="10" borderId="5" xfId="3" applyFont="1" applyFill="1" applyBorder="1" applyAlignment="1">
      <alignment horizontal="left" vertical="center" wrapText="1"/>
    </xf>
    <xf numFmtId="10" fontId="13" fillId="0" borderId="7" xfId="3" applyNumberFormat="1" applyFont="1" applyBorder="1" applyAlignment="1">
      <alignment horizontal="center" vertical="center"/>
    </xf>
    <xf numFmtId="10" fontId="13" fillId="0" borderId="7" xfId="3" applyNumberFormat="1" applyFont="1" applyBorder="1" applyAlignment="1">
      <alignment horizontal="right" vertical="center"/>
    </xf>
    <xf numFmtId="0" fontId="13" fillId="0" borderId="7" xfId="3" applyFont="1" applyBorder="1" applyAlignment="1">
      <alignment horizontal="right"/>
    </xf>
    <xf numFmtId="10" fontId="13" fillId="0" borderId="7" xfId="3" applyNumberFormat="1" applyFont="1" applyBorder="1" applyAlignment="1">
      <alignment horizontal="right"/>
    </xf>
    <xf numFmtId="0" fontId="20" fillId="0" borderId="7" xfId="3" applyFont="1" applyBorder="1" applyAlignment="1">
      <alignment horizontal="right"/>
    </xf>
    <xf numFmtId="9" fontId="13" fillId="0" borderId="7" xfId="3" applyNumberFormat="1" applyFont="1" applyBorder="1" applyAlignment="1">
      <alignment horizontal="center" vertical="center"/>
    </xf>
    <xf numFmtId="166" fontId="20" fillId="0" borderId="7" xfId="3" applyNumberFormat="1" applyFont="1" applyBorder="1" applyAlignment="1">
      <alignment vertical="center"/>
    </xf>
    <xf numFmtId="3" fontId="20" fillId="0" borderId="7" xfId="3" applyNumberFormat="1" applyFont="1" applyBorder="1" applyAlignment="1">
      <alignment horizontal="center" vertical="center"/>
    </xf>
    <xf numFmtId="166" fontId="13" fillId="0" borderId="7" xfId="3" applyNumberFormat="1" applyFont="1" applyBorder="1" applyAlignment="1">
      <alignment horizontal="center" vertical="center"/>
    </xf>
    <xf numFmtId="165" fontId="20" fillId="0" borderId="7" xfId="3" applyNumberFormat="1" applyFont="1" applyBorder="1" applyAlignment="1">
      <alignment horizontal="center" vertical="center"/>
    </xf>
    <xf numFmtId="10" fontId="20" fillId="0" borderId="8" xfId="3" applyNumberFormat="1" applyFont="1" applyBorder="1" applyAlignment="1">
      <alignment horizontal="center" vertical="center"/>
    </xf>
    <xf numFmtId="164" fontId="13" fillId="0" borderId="10" xfId="3" applyNumberFormat="1" applyFont="1" applyBorder="1" applyAlignment="1">
      <alignment horizontal="center" vertical="center"/>
    </xf>
    <xf numFmtId="10" fontId="13" fillId="0" borderId="10" xfId="3" applyNumberFormat="1" applyFont="1" applyBorder="1" applyAlignment="1">
      <alignment horizontal="center" vertical="center"/>
    </xf>
    <xf numFmtId="10" fontId="13" fillId="0" borderId="10" xfId="3" applyNumberFormat="1" applyFont="1" applyBorder="1" applyAlignment="1">
      <alignment horizontal="right" vertical="center"/>
    </xf>
    <xf numFmtId="0" fontId="13" fillId="0" borderId="10" xfId="3" applyFont="1" applyBorder="1" applyAlignment="1">
      <alignment horizontal="right"/>
    </xf>
    <xf numFmtId="10" fontId="13" fillId="0" borderId="10" xfId="3" applyNumberFormat="1" applyFont="1" applyBorder="1" applyAlignment="1">
      <alignment horizontal="right"/>
    </xf>
    <xf numFmtId="0" fontId="20" fillId="0" borderId="10" xfId="3" applyFont="1" applyBorder="1" applyAlignment="1">
      <alignment horizontal="right"/>
    </xf>
    <xf numFmtId="9" fontId="13" fillId="0" borderId="10" xfId="3" applyNumberFormat="1" applyFont="1" applyBorder="1" applyAlignment="1">
      <alignment horizontal="center" vertical="center"/>
    </xf>
    <xf numFmtId="166" fontId="20" fillId="0" borderId="10" xfId="3" applyNumberFormat="1" applyFont="1" applyBorder="1" applyAlignment="1">
      <alignment vertical="center"/>
    </xf>
    <xf numFmtId="3" fontId="20" fillId="0" borderId="10" xfId="3" applyNumberFormat="1" applyFont="1" applyBorder="1" applyAlignment="1">
      <alignment horizontal="center" vertical="center"/>
    </xf>
    <xf numFmtId="166" fontId="13" fillId="0" borderId="10" xfId="3" applyNumberFormat="1" applyFont="1" applyBorder="1" applyAlignment="1">
      <alignment horizontal="center" vertical="center"/>
    </xf>
    <xf numFmtId="165" fontId="20" fillId="0" borderId="10" xfId="3" applyNumberFormat="1" applyFont="1" applyBorder="1" applyAlignment="1">
      <alignment horizontal="center" vertical="center"/>
    </xf>
    <xf numFmtId="10" fontId="20" fillId="0" borderId="11" xfId="3" applyNumberFormat="1" applyFont="1" applyBorder="1" applyAlignment="1">
      <alignment horizontal="center" vertical="center"/>
    </xf>
    <xf numFmtId="164" fontId="13" fillId="0" borderId="7" xfId="3" applyNumberFormat="1" applyFont="1" applyBorder="1" applyAlignment="1">
      <alignment horizontal="center" vertical="center"/>
    </xf>
    <xf numFmtId="10" fontId="13" fillId="0" borderId="10" xfId="3" applyNumberFormat="1" applyFont="1" applyBorder="1" applyAlignment="1">
      <alignment vertical="center"/>
    </xf>
    <xf numFmtId="10" fontId="13" fillId="0" borderId="10" xfId="3" applyNumberFormat="1" applyFont="1" applyBorder="1"/>
    <xf numFmtId="10" fontId="13" fillId="0" borderId="7" xfId="3" applyNumberFormat="1" applyFont="1" applyBorder="1" applyAlignment="1">
      <alignment vertical="center"/>
    </xf>
    <xf numFmtId="0" fontId="20" fillId="0" borderId="7" xfId="3" applyFont="1" applyBorder="1"/>
    <xf numFmtId="0" fontId="13" fillId="0" borderId="7" xfId="3" applyFont="1" applyBorder="1" applyAlignment="1">
      <alignment vertical="center"/>
    </xf>
    <xf numFmtId="164" fontId="13" fillId="0" borderId="13" xfId="3" applyNumberFormat="1" applyFont="1" applyBorder="1" applyAlignment="1">
      <alignment horizontal="center" vertical="center"/>
    </xf>
    <xf numFmtId="10" fontId="13" fillId="0" borderId="13" xfId="3" applyNumberFormat="1" applyFont="1" applyBorder="1" applyAlignment="1">
      <alignment horizontal="center" vertical="center"/>
    </xf>
    <xf numFmtId="10" fontId="13" fillId="0" borderId="13" xfId="3" applyNumberFormat="1" applyFont="1" applyBorder="1" applyAlignment="1">
      <alignment horizontal="right" vertical="center"/>
    </xf>
    <xf numFmtId="0" fontId="13" fillId="0" borderId="13" xfId="3" applyFont="1" applyBorder="1" applyAlignment="1">
      <alignment horizontal="right"/>
    </xf>
    <xf numFmtId="10" fontId="13" fillId="0" borderId="13" xfId="3" applyNumberFormat="1" applyFont="1" applyBorder="1" applyAlignment="1">
      <alignment horizontal="right"/>
    </xf>
    <xf numFmtId="0" fontId="20" fillId="0" borderId="13" xfId="3" applyFont="1" applyBorder="1" applyAlignment="1">
      <alignment horizontal="right"/>
    </xf>
    <xf numFmtId="9" fontId="13" fillId="0" borderId="13" xfId="3" applyNumberFormat="1" applyFont="1" applyBorder="1" applyAlignment="1">
      <alignment horizontal="center" vertical="center"/>
    </xf>
    <xf numFmtId="166" fontId="20" fillId="0" borderId="13" xfId="3" applyNumberFormat="1" applyFont="1" applyBorder="1" applyAlignment="1">
      <alignment vertical="center"/>
    </xf>
    <xf numFmtId="3" fontId="20" fillId="0" borderId="13" xfId="3" applyNumberFormat="1" applyFont="1" applyBorder="1" applyAlignment="1">
      <alignment horizontal="center" vertical="center"/>
    </xf>
    <xf numFmtId="166" fontId="13" fillId="0" borderId="13" xfId="3" applyNumberFormat="1" applyFont="1" applyBorder="1" applyAlignment="1">
      <alignment horizontal="center" vertical="center"/>
    </xf>
    <xf numFmtId="165" fontId="20" fillId="0" borderId="13" xfId="3" applyNumberFormat="1" applyFont="1" applyBorder="1" applyAlignment="1">
      <alignment horizontal="center" vertical="center"/>
    </xf>
    <xf numFmtId="10" fontId="20" fillId="0" borderId="14" xfId="3" applyNumberFormat="1" applyFont="1" applyBorder="1" applyAlignment="1">
      <alignment horizontal="center" vertical="center"/>
    </xf>
    <xf numFmtId="10" fontId="13" fillId="0" borderId="0" xfId="2" applyNumberFormat="1" applyFont="1"/>
    <xf numFmtId="43" fontId="13" fillId="0" borderId="0" xfId="1" applyFont="1"/>
    <xf numFmtId="167" fontId="13" fillId="0" borderId="0" xfId="1" applyNumberFormat="1" applyFont="1"/>
    <xf numFmtId="167" fontId="1" fillId="4" borderId="0" xfId="1" applyNumberFormat="1" applyFont="1" applyFill="1" applyAlignment="1">
      <alignment horizontal="center" vertical="center"/>
    </xf>
    <xf numFmtId="165" fontId="21" fillId="10" borderId="0" xfId="0" applyNumberFormat="1" applyFont="1" applyFill="1" applyAlignment="1">
      <alignment horizontal="center" wrapText="1"/>
    </xf>
    <xf numFmtId="0" fontId="19" fillId="2" borderId="0" xfId="0" applyFont="1" applyFill="1" applyAlignment="1">
      <alignment horizontal="center" wrapText="1"/>
    </xf>
    <xf numFmtId="10" fontId="19" fillId="2" borderId="0" xfId="0" applyNumberFormat="1" applyFont="1" applyFill="1" applyAlignment="1">
      <alignment horizontal="center" wrapText="1"/>
    </xf>
    <xf numFmtId="9" fontId="13" fillId="0" borderId="0" xfId="2" applyFont="1"/>
    <xf numFmtId="10" fontId="19" fillId="2" borderId="0" xfId="2" applyNumberFormat="1" applyFont="1" applyFill="1" applyAlignment="1">
      <alignment horizontal="center" wrapText="1"/>
    </xf>
    <xf numFmtId="10" fontId="13" fillId="0" borderId="0" xfId="2" applyNumberFormat="1" applyFont="1" applyAlignment="1">
      <alignment horizontal="center" vertical="center"/>
    </xf>
    <xf numFmtId="165" fontId="13" fillId="0" borderId="0" xfId="2" applyNumberFormat="1" applyFont="1"/>
    <xf numFmtId="166" fontId="19" fillId="2" borderId="0" xfId="0" applyNumberFormat="1" applyFont="1" applyFill="1" applyAlignment="1">
      <alignment horizontal="center" wrapText="1"/>
    </xf>
    <xf numFmtId="166" fontId="13" fillId="0" borderId="0" xfId="2" applyNumberFormat="1" applyFont="1" applyFill="1" applyBorder="1"/>
    <xf numFmtId="0" fontId="0" fillId="0" borderId="0" xfId="0" applyAlignment="1">
      <alignment horizontal="left" vertical="center" wrapText="1"/>
    </xf>
    <xf numFmtId="0" fontId="19" fillId="0" borderId="0" xfId="0" applyFont="1" applyAlignment="1">
      <alignment horizontal="center" wrapText="1"/>
    </xf>
    <xf numFmtId="0" fontId="13" fillId="9" borderId="0" xfId="0" applyFont="1" applyFill="1" applyAlignment="1">
      <alignment horizontal="center" vertical="center"/>
    </xf>
    <xf numFmtId="166" fontId="13" fillId="9" borderId="0" xfId="0" applyNumberFormat="1" applyFont="1" applyFill="1" applyAlignment="1">
      <alignment horizontal="center" vertical="center"/>
    </xf>
    <xf numFmtId="3" fontId="13" fillId="9" borderId="0" xfId="0" applyNumberFormat="1" applyFont="1" applyFill="1" applyAlignment="1">
      <alignment horizontal="center" vertical="center"/>
    </xf>
    <xf numFmtId="167" fontId="13" fillId="9" borderId="0" xfId="1" applyNumberFormat="1" applyFont="1" applyFill="1" applyBorder="1"/>
    <xf numFmtId="165" fontId="13" fillId="9" borderId="0" xfId="0" applyNumberFormat="1" applyFont="1" applyFill="1" applyAlignment="1">
      <alignment horizontal="center" vertical="center"/>
    </xf>
    <xf numFmtId="10" fontId="13" fillId="9" borderId="0" xfId="2" applyNumberFormat="1" applyFont="1" applyFill="1" applyAlignment="1">
      <alignment horizontal="center" vertical="center"/>
    </xf>
    <xf numFmtId="10" fontId="13" fillId="9" borderId="0" xfId="0" applyNumberFormat="1" applyFont="1" applyFill="1" applyAlignment="1">
      <alignment vertical="center"/>
    </xf>
    <xf numFmtId="166" fontId="13" fillId="9" borderId="0" xfId="0" applyNumberFormat="1" applyFont="1" applyFill="1"/>
    <xf numFmtId="10" fontId="13" fillId="9" borderId="0" xfId="0" applyNumberFormat="1" applyFont="1" applyFill="1" applyAlignment="1">
      <alignment wrapText="1"/>
    </xf>
    <xf numFmtId="43" fontId="13" fillId="9" borderId="0" xfId="0" applyNumberFormat="1" applyFont="1" applyFill="1"/>
    <xf numFmtId="0" fontId="13" fillId="9" borderId="0" xfId="0" applyFont="1" applyFill="1" applyAlignment="1">
      <alignment wrapText="1"/>
    </xf>
    <xf numFmtId="167" fontId="13" fillId="9" borderId="0" xfId="1" applyNumberFormat="1" applyFont="1" applyFill="1"/>
    <xf numFmtId="10" fontId="13" fillId="9" borderId="0" xfId="2" applyNumberFormat="1" applyFont="1" applyFill="1"/>
    <xf numFmtId="43" fontId="13" fillId="9" borderId="0" xfId="1" applyFont="1" applyFill="1"/>
    <xf numFmtId="1" fontId="13" fillId="9" borderId="0" xfId="0" applyNumberFormat="1" applyFont="1" applyFill="1"/>
    <xf numFmtId="164" fontId="13" fillId="9" borderId="0" xfId="2" applyNumberFormat="1" applyFont="1" applyFill="1" applyBorder="1"/>
    <xf numFmtId="166" fontId="13" fillId="9" borderId="0" xfId="2" applyNumberFormat="1" applyFont="1" applyFill="1" applyBorder="1"/>
    <xf numFmtId="0" fontId="13" fillId="13" borderId="0" xfId="0" applyFont="1" applyFill="1" applyAlignment="1">
      <alignment horizontal="center" vertical="center"/>
    </xf>
    <xf numFmtId="166" fontId="13" fillId="13" borderId="0" xfId="0" applyNumberFormat="1" applyFont="1" applyFill="1" applyAlignment="1">
      <alignment horizontal="center" vertical="center"/>
    </xf>
    <xf numFmtId="3" fontId="13" fillId="13" borderId="0" xfId="0" applyNumberFormat="1" applyFont="1" applyFill="1" applyAlignment="1">
      <alignment horizontal="center" vertical="center"/>
    </xf>
    <xf numFmtId="167" fontId="13" fillId="13" borderId="0" xfId="1" applyNumberFormat="1" applyFont="1" applyFill="1" applyBorder="1"/>
    <xf numFmtId="165" fontId="13" fillId="13" borderId="0" xfId="0" applyNumberFormat="1" applyFont="1" applyFill="1" applyAlignment="1">
      <alignment horizontal="center" vertical="center"/>
    </xf>
    <xf numFmtId="10" fontId="13" fillId="13" borderId="0" xfId="2" applyNumberFormat="1" applyFont="1" applyFill="1" applyAlignment="1">
      <alignment horizontal="center" vertical="center"/>
    </xf>
    <xf numFmtId="10" fontId="13" fillId="13" borderId="0" xfId="0" applyNumberFormat="1" applyFont="1" applyFill="1" applyAlignment="1">
      <alignment vertical="center"/>
    </xf>
    <xf numFmtId="166" fontId="13" fillId="13" borderId="0" xfId="0" applyNumberFormat="1" applyFont="1" applyFill="1"/>
    <xf numFmtId="10" fontId="13" fillId="13" borderId="0" xfId="0" applyNumberFormat="1" applyFont="1" applyFill="1" applyAlignment="1">
      <alignment wrapText="1"/>
    </xf>
    <xf numFmtId="43" fontId="13" fillId="13" borderId="0" xfId="0" applyNumberFormat="1" applyFont="1" applyFill="1"/>
    <xf numFmtId="0" fontId="13" fillId="13" borderId="0" xfId="0" applyFont="1" applyFill="1" applyAlignment="1">
      <alignment wrapText="1"/>
    </xf>
    <xf numFmtId="167" fontId="13" fillId="13" borderId="0" xfId="1" applyNumberFormat="1" applyFont="1" applyFill="1"/>
    <xf numFmtId="10" fontId="13" fillId="13" borderId="0" xfId="2" applyNumberFormat="1" applyFont="1" applyFill="1"/>
    <xf numFmtId="43" fontId="13" fillId="13" borderId="0" xfId="1" applyFont="1" applyFill="1"/>
    <xf numFmtId="164" fontId="13" fillId="13" borderId="0" xfId="0" applyNumberFormat="1" applyFont="1" applyFill="1"/>
    <xf numFmtId="1" fontId="13" fillId="13" borderId="0" xfId="0" applyNumberFormat="1" applyFont="1" applyFill="1"/>
    <xf numFmtId="164" fontId="13" fillId="13" borderId="0" xfId="2" applyNumberFormat="1" applyFont="1" applyFill="1" applyBorder="1"/>
    <xf numFmtId="166" fontId="13" fillId="13" borderId="0" xfId="2" applyNumberFormat="1" applyFont="1" applyFill="1" applyBorder="1"/>
    <xf numFmtId="0" fontId="23" fillId="0" borderId="0" xfId="0" applyFont="1" applyAlignment="1">
      <alignment vertical="center" wrapText="1"/>
    </xf>
    <xf numFmtId="0" fontId="15" fillId="0" borderId="0" xfId="0" applyFont="1" applyAlignment="1">
      <alignment horizontal="left" vertical="center" wrapText="1"/>
    </xf>
    <xf numFmtId="0" fontId="19" fillId="2" borderId="0" xfId="0" applyFont="1" applyFill="1" applyAlignment="1">
      <alignment wrapText="1"/>
    </xf>
    <xf numFmtId="164" fontId="1" fillId="4" borderId="0" xfId="0" applyNumberFormat="1" applyFont="1" applyFill="1" applyAlignment="1">
      <alignment vertical="center"/>
    </xf>
    <xf numFmtId="164" fontId="1" fillId="0" borderId="0" xfId="0" applyNumberFormat="1" applyFont="1" applyAlignment="1">
      <alignment horizontal="center" vertical="center"/>
    </xf>
    <xf numFmtId="164" fontId="1" fillId="0" borderId="0" xfId="0" applyNumberFormat="1" applyFont="1" applyAlignment="1">
      <alignment vertical="center"/>
    </xf>
    <xf numFmtId="10" fontId="13" fillId="0" borderId="0" xfId="2" applyNumberFormat="1" applyFont="1" applyFill="1" applyAlignment="1">
      <alignment horizontal="center" vertical="center"/>
    </xf>
    <xf numFmtId="10" fontId="13" fillId="0" borderId="0" xfId="2" applyNumberFormat="1" applyFont="1" applyFill="1"/>
    <xf numFmtId="43" fontId="13" fillId="0" borderId="0" xfId="1" applyFont="1" applyFill="1"/>
    <xf numFmtId="167" fontId="13" fillId="0" borderId="0" xfId="1" applyNumberFormat="1" applyFont="1" applyFill="1"/>
    <xf numFmtId="0" fontId="21" fillId="2" borderId="0" xfId="0" applyFont="1" applyFill="1" applyAlignment="1">
      <alignment wrapText="1"/>
    </xf>
    <xf numFmtId="0" fontId="15" fillId="0" borderId="0" xfId="0" applyFont="1" applyAlignment="1">
      <alignment wrapText="1"/>
    </xf>
    <xf numFmtId="0" fontId="1" fillId="4" borderId="0" xfId="0" applyFont="1" applyFill="1" applyAlignment="1">
      <alignment horizontal="left" vertical="top" wrapText="1"/>
    </xf>
    <xf numFmtId="10" fontId="19" fillId="12" borderId="0" xfId="0" applyNumberFormat="1" applyFont="1" applyFill="1" applyAlignment="1">
      <alignment horizontal="center" vertical="center" wrapText="1"/>
    </xf>
    <xf numFmtId="10" fontId="19" fillId="12" borderId="1" xfId="0" applyNumberFormat="1" applyFont="1" applyFill="1" applyBorder="1" applyAlignment="1">
      <alignment horizontal="center" vertical="center" wrapText="1"/>
    </xf>
    <xf numFmtId="0" fontId="1" fillId="4" borderId="0" xfId="0" applyFont="1" applyFill="1" applyAlignment="1">
      <alignment horizontal="center" vertical="center"/>
    </xf>
    <xf numFmtId="0" fontId="19" fillId="12" borderId="0" xfId="0" applyFont="1" applyFill="1" applyAlignment="1">
      <alignment horizontal="center" vertical="center" wrapText="1"/>
    </xf>
    <xf numFmtId="0" fontId="19" fillId="12" borderId="1" xfId="0" applyFont="1" applyFill="1" applyBorder="1" applyAlignment="1">
      <alignment horizontal="center" vertical="center" wrapText="1"/>
    </xf>
    <xf numFmtId="0" fontId="1" fillId="4" borderId="0" xfId="0" applyFont="1" applyFill="1" applyAlignment="1">
      <alignment horizontal="left" vertical="center" wrapText="1"/>
    </xf>
    <xf numFmtId="0" fontId="0" fillId="0" borderId="0" xfId="0" applyAlignment="1">
      <alignment horizontal="left" vertical="center" wrapText="1"/>
    </xf>
    <xf numFmtId="0" fontId="1" fillId="4" borderId="0" xfId="0" applyFont="1" applyFill="1" applyAlignment="1">
      <alignment horizontal="left" vertical="center"/>
    </xf>
    <xf numFmtId="166" fontId="1" fillId="4" borderId="0" xfId="0" applyNumberFormat="1" applyFont="1" applyFill="1" applyAlignment="1">
      <alignment horizontal="center" vertical="center"/>
    </xf>
    <xf numFmtId="164" fontId="1" fillId="4" borderId="0" xfId="0" applyNumberFormat="1" applyFont="1" applyFill="1" applyAlignment="1">
      <alignment horizontal="center" vertical="center"/>
    </xf>
    <xf numFmtId="0" fontId="7" fillId="2" borderId="0" xfId="0" applyFont="1" applyFill="1" applyAlignment="1">
      <alignment horizontal="center" vertical="center" wrapText="1"/>
    </xf>
    <xf numFmtId="0" fontId="3" fillId="2" borderId="0" xfId="0" applyFont="1" applyFill="1" applyAlignment="1">
      <alignment horizontal="center" vertical="center" wrapText="1"/>
    </xf>
    <xf numFmtId="10" fontId="1" fillId="4" borderId="0" xfId="0" applyNumberFormat="1" applyFont="1" applyFill="1" applyAlignment="1">
      <alignment horizontal="center" vertical="center"/>
    </xf>
    <xf numFmtId="0" fontId="2" fillId="2" borderId="0" xfId="0" applyFont="1" applyFill="1" applyAlignment="1">
      <alignment horizontal="left" vertical="center"/>
    </xf>
    <xf numFmtId="0" fontId="3" fillId="2" borderId="0" xfId="0" applyFont="1" applyFill="1" applyAlignment="1">
      <alignment horizontal="right" vertical="center"/>
    </xf>
    <xf numFmtId="0" fontId="1" fillId="6" borderId="0" xfId="0" applyFont="1" applyFill="1" applyAlignment="1">
      <alignment horizontal="center" vertical="center"/>
    </xf>
    <xf numFmtId="0" fontId="1" fillId="6" borderId="1" xfId="0" applyFont="1" applyFill="1" applyBorder="1" applyAlignment="1">
      <alignment horizontal="center" vertical="center"/>
    </xf>
    <xf numFmtId="1" fontId="1" fillId="4" borderId="0" xfId="0" applyNumberFormat="1" applyFont="1" applyFill="1" applyAlignment="1">
      <alignment horizontal="center" vertical="center"/>
    </xf>
    <xf numFmtId="3" fontId="1" fillId="4" borderId="0" xfId="0" applyNumberFormat="1" applyFont="1" applyFill="1" applyAlignment="1">
      <alignment horizontal="center" vertical="center"/>
    </xf>
    <xf numFmtId="2" fontId="1" fillId="4" borderId="0" xfId="0" applyNumberFormat="1" applyFont="1" applyFill="1" applyAlignment="1">
      <alignment horizontal="center" vertical="center"/>
    </xf>
    <xf numFmtId="0" fontId="3" fillId="5" borderId="0" xfId="0" applyFont="1" applyFill="1" applyAlignment="1">
      <alignment horizontal="center" vertical="center"/>
    </xf>
    <xf numFmtId="0" fontId="1" fillId="4" borderId="18" xfId="0" applyFont="1" applyFill="1" applyBorder="1" applyAlignment="1">
      <alignment horizontal="center" vertical="center"/>
    </xf>
    <xf numFmtId="165" fontId="1" fillId="4" borderId="0" xfId="0" applyNumberFormat="1" applyFont="1" applyFill="1" applyAlignment="1">
      <alignment horizontal="center" vertical="center"/>
    </xf>
    <xf numFmtId="0" fontId="4" fillId="3" borderId="0" xfId="0" applyFont="1" applyFill="1" applyAlignment="1">
      <alignment horizontal="center" vertical="center"/>
    </xf>
    <xf numFmtId="0" fontId="5" fillId="3" borderId="0" xfId="0" applyFont="1" applyFill="1" applyAlignment="1">
      <alignment horizontal="center" vertical="center"/>
    </xf>
    <xf numFmtId="0" fontId="24" fillId="4" borderId="0" xfId="0" applyFont="1" applyFill="1" applyAlignment="1">
      <alignment horizontal="left" vertical="center" wrapText="1"/>
    </xf>
    <xf numFmtId="0" fontId="25" fillId="4" borderId="0" xfId="0" applyFont="1" applyFill="1" applyAlignment="1">
      <alignment horizontal="left" vertical="center" wrapText="1"/>
    </xf>
    <xf numFmtId="0" fontId="26" fillId="2" borderId="0" xfId="0" applyFont="1" applyFill="1" applyAlignment="1">
      <alignment horizontal="center" vertical="center"/>
    </xf>
    <xf numFmtId="0" fontId="25" fillId="0" borderId="0" xfId="0" applyFont="1" applyAlignment="1">
      <alignment horizontal="center" vertical="center"/>
    </xf>
    <xf numFmtId="37" fontId="1" fillId="4" borderId="0" xfId="1" applyNumberFormat="1" applyFont="1" applyFill="1" applyAlignment="1">
      <alignment horizontal="center" vertical="center"/>
    </xf>
    <xf numFmtId="0" fontId="1" fillId="6" borderId="0" xfId="0" applyFont="1" applyFill="1" applyAlignment="1">
      <alignment horizontal="left" vertical="center"/>
    </xf>
    <xf numFmtId="3" fontId="1" fillId="4" borderId="18" xfId="0" applyNumberFormat="1" applyFont="1" applyFill="1" applyBorder="1" applyAlignment="1">
      <alignment horizontal="center" vertical="center"/>
    </xf>
    <xf numFmtId="14" fontId="1" fillId="4" borderId="0" xfId="0" applyNumberFormat="1" applyFont="1" applyFill="1" applyAlignment="1">
      <alignment horizontal="center" vertical="center"/>
    </xf>
    <xf numFmtId="0" fontId="27" fillId="3" borderId="0" xfId="0" applyFont="1" applyFill="1" applyAlignment="1">
      <alignment horizontal="center" vertical="center"/>
    </xf>
    <xf numFmtId="0" fontId="6" fillId="4" borderId="0" xfId="0" applyFont="1" applyFill="1" applyAlignment="1">
      <alignment horizontal="center" vertical="center" wrapText="1"/>
    </xf>
  </cellXfs>
  <cellStyles count="4">
    <cellStyle name="Comma" xfId="1" builtinId="3"/>
    <cellStyle name="Normal" xfId="0" builtinId="0"/>
    <cellStyle name="Normal 2" xfId="3" xr:uid="{A786F6A0-A869-4A9E-8354-8794B740B2A3}"/>
    <cellStyle name="Percent" xfId="2" builtinId="5"/>
  </cellStyles>
  <dxfs count="19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val="0"/>
        <outline val="0"/>
        <shadow val="0"/>
        <u val="none"/>
        <vertAlign val="baseline"/>
        <color auto="1"/>
      </font>
      <fill>
        <patternFill patternType="solid">
          <fgColor indexed="64"/>
          <bgColor theme="2"/>
        </patternFill>
      </fill>
      <alignment textRotation="0" wrapText="1" indent="0" justifyLastLine="0" shrinkToFit="0" readingOrder="0"/>
    </dxf>
    <dxf>
      <fill>
        <patternFill patternType="none">
          <bgColor auto="1"/>
        </patternFill>
      </fill>
    </dxf>
    <dxf>
      <numFmt numFmtId="0" formatCode="General"/>
      <fill>
        <patternFill patternType="none">
          <bgColor auto="1"/>
        </patternFill>
      </fill>
    </dxf>
    <dxf>
      <fill>
        <patternFill patternType="none">
          <bgColor auto="1"/>
        </patternFill>
      </fill>
    </dxf>
    <dxf>
      <numFmt numFmtId="0" formatCode="General"/>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val="0"/>
        <outline val="0"/>
        <shadow val="0"/>
        <u val="none"/>
        <vertAlign val="baseline"/>
        <color auto="1"/>
      </font>
      <fill>
        <patternFill patternType="solid">
          <fgColor indexed="64"/>
          <bgColor theme="2"/>
        </patternFill>
      </fill>
      <alignment textRotation="0" wrapText="1" indent="0" justifyLastLine="0" shrinkToFit="0" readingOrder="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val="0"/>
        <outline val="0"/>
        <shadow val="0"/>
        <u val="none"/>
        <vertAlign val="baseline"/>
        <color auto="1"/>
      </font>
      <fill>
        <patternFill patternType="solid">
          <fgColor indexed="64"/>
          <bgColor theme="2"/>
        </patternFill>
      </fill>
      <alignment textRotation="0" wrapText="1" indent="0" justifyLastLine="0" shrinkToFit="0" readingOrder="0"/>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val="0"/>
        <outline val="0"/>
        <shadow val="0"/>
        <u val="none"/>
        <vertAlign val="baseline"/>
        <color auto="1"/>
      </font>
      <fill>
        <patternFill patternType="solid">
          <fgColor indexed="64"/>
          <bgColor theme="2"/>
        </patternFill>
      </fill>
      <alignment textRotation="0" wrapText="1" indent="0" justifyLastLine="0" shrinkToFit="0" readingOrder="0"/>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b val="0"/>
        <i val="0"/>
        <strike val="0"/>
        <condense val="0"/>
        <extend val="0"/>
        <outline val="0"/>
        <shadow val="0"/>
        <u val="none"/>
        <vertAlign val="baseline"/>
        <sz val="10"/>
        <color theme="1"/>
        <name val="Calibri"/>
        <family val="2"/>
        <scheme val="none"/>
      </font>
      <alignment horizontal="center" vertical="center" textRotation="0" wrapText="0" indent="0" justifyLastLine="0" shrinkToFit="0" readingOrder="0"/>
      <border diagonalUp="0" diagonalDown="0" outline="0">
        <left style="thin">
          <color rgb="FFF6F8F9"/>
        </left>
        <right style="thin">
          <color rgb="FFF6F8F9"/>
        </right>
        <top style="thin">
          <color rgb="FFF6F8F9"/>
        </top>
        <bottom style="thin">
          <color rgb="FFF6F8F9"/>
        </bottom>
      </border>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dxf>
    <dxf>
      <font>
        <strike val="0"/>
        <outline val="0"/>
        <shadow val="0"/>
        <u val="none"/>
        <vertAlign val="baseline"/>
        <sz val="10"/>
        <name val="Calibri"/>
        <family val="2"/>
        <scheme val="none"/>
      </font>
      <fill>
        <patternFill patternType="solid">
          <fgColor indexed="64"/>
          <bgColor theme="2" tint="-4.9989318521683403E-2"/>
        </patternFill>
      </fill>
    </dxf>
    <dxf>
      <font>
        <b val="0"/>
        <i val="0"/>
        <strike val="0"/>
        <condense val="0"/>
        <extend val="0"/>
        <outline val="0"/>
        <shadow val="0"/>
        <u val="none"/>
        <vertAlign val="baseline"/>
        <sz val="10"/>
        <color theme="1"/>
        <name val="Calibri"/>
        <family val="2"/>
        <scheme val="none"/>
      </font>
      <numFmt numFmtId="0" formatCode="General"/>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none"/>
      </font>
      <alignment horizontal="general" vertical="bottom" textRotation="0" wrapText="1" indent="0" justifyLastLine="0" shrinkToFit="0" readingOrder="0"/>
    </dxf>
    <dxf>
      <font>
        <b val="0"/>
        <strike val="0"/>
        <outline val="0"/>
        <shadow val="0"/>
        <u val="none"/>
        <vertAlign val="baseline"/>
        <sz val="10"/>
        <color theme="1"/>
        <name val="Calibri"/>
        <family val="2"/>
        <scheme val="none"/>
      </font>
      <numFmt numFmtId="0" formatCode="General"/>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none"/>
      </font>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none"/>
      </font>
      <alignment horizontal="general" vertical="bottom" textRotation="0" wrapText="1" indent="0" justifyLastLine="0" shrinkToFit="0" readingOrder="0"/>
    </dxf>
    <dxf>
      <font>
        <b val="0"/>
        <strike val="0"/>
        <outline val="0"/>
        <shadow val="0"/>
        <u val="none"/>
        <vertAlign val="baseline"/>
        <sz val="10"/>
        <color theme="1"/>
        <name val="Calibri"/>
        <family val="2"/>
        <scheme val="none"/>
      </font>
      <fill>
        <patternFill patternType="none">
          <fgColor indexed="64"/>
          <bgColor auto="1"/>
        </patternFill>
      </fill>
    </dxf>
    <dxf>
      <font>
        <b val="0"/>
        <i val="0"/>
        <strike val="0"/>
        <condense val="0"/>
        <extend val="0"/>
        <outline val="0"/>
        <shadow val="0"/>
        <u val="none"/>
        <vertAlign val="baseline"/>
        <sz val="10"/>
        <color theme="1"/>
        <name val="Calibri"/>
        <family val="2"/>
        <scheme val="none"/>
      </font>
      <alignment horizontal="general" vertical="bottom" textRotation="0" wrapText="1" indent="0" justifyLastLine="0" shrinkToFit="0" readingOrder="0"/>
    </dxf>
    <dxf>
      <font>
        <b val="0"/>
        <strike val="0"/>
        <outline val="0"/>
        <shadow val="0"/>
        <u val="none"/>
        <vertAlign val="baseline"/>
        <sz val="10"/>
        <color theme="1"/>
        <name val="Calibri"/>
        <family val="2"/>
        <scheme val="none"/>
      </font>
      <fill>
        <patternFill patternType="none">
          <fgColor indexed="64"/>
          <bgColor auto="1"/>
        </patternFill>
      </fill>
    </dxf>
    <dxf>
      <font>
        <b val="0"/>
        <strike val="0"/>
        <outline val="0"/>
        <shadow val="0"/>
        <u val="none"/>
        <vertAlign val="baseline"/>
        <sz val="10"/>
        <color theme="1"/>
        <name val="Calibri"/>
        <family val="2"/>
        <scheme val="none"/>
      </font>
      <fill>
        <patternFill patternType="none">
          <fgColor indexed="64"/>
          <bgColor auto="1"/>
        </patternFill>
      </fill>
    </dxf>
    <dxf>
      <font>
        <b val="0"/>
        <strike val="0"/>
        <outline val="0"/>
        <shadow val="0"/>
        <u val="none"/>
        <vertAlign val="baseline"/>
        <sz val="10"/>
        <color theme="1"/>
        <name val="Calibri"/>
        <family val="2"/>
        <scheme val="none"/>
      </font>
      <fill>
        <patternFill patternType="none">
          <fgColor indexed="64"/>
          <bgColor auto="1"/>
        </patternFill>
      </fill>
    </dxf>
    <dxf>
      <font>
        <b val="0"/>
        <strike val="0"/>
        <outline val="0"/>
        <shadow val="0"/>
        <u val="none"/>
        <vertAlign val="baseline"/>
        <sz val="10"/>
        <color theme="1"/>
        <name val="Calibri"/>
        <family val="2"/>
        <scheme val="none"/>
      </font>
      <fill>
        <patternFill patternType="none">
          <fgColor indexed="64"/>
          <bgColor auto="1"/>
        </patternFill>
      </fill>
    </dxf>
    <dxf>
      <font>
        <b val="0"/>
        <i val="0"/>
        <strike val="0"/>
        <condense val="0"/>
        <extend val="0"/>
        <outline val="0"/>
        <shadow val="0"/>
        <u val="none"/>
        <vertAlign val="baseline"/>
        <sz val="10"/>
        <color theme="1"/>
        <name val="Calibri"/>
        <family val="2"/>
        <scheme val="none"/>
      </font>
      <numFmt numFmtId="164" formatCode="0.0%"/>
      <fill>
        <patternFill patternType="none">
          <fgColor indexed="64"/>
          <bgColor indexed="65"/>
        </patternFill>
      </fill>
    </dxf>
    <dxf>
      <font>
        <b val="0"/>
        <i val="0"/>
        <strike val="0"/>
        <condense val="0"/>
        <extend val="0"/>
        <outline val="0"/>
        <shadow val="0"/>
        <u val="none"/>
        <vertAlign val="baseline"/>
        <sz val="10"/>
        <color theme="1"/>
        <name val="Calibri"/>
        <family val="2"/>
        <scheme val="none"/>
      </font>
      <numFmt numFmtId="166" formatCode="&quot;$&quot;#,##0"/>
      <fill>
        <patternFill patternType="none">
          <fgColor indexed="64"/>
          <bgColor indexed="65"/>
        </patternFill>
      </fill>
    </dxf>
    <dxf>
      <font>
        <b val="0"/>
        <i val="0"/>
        <strike val="0"/>
        <condense val="0"/>
        <extend val="0"/>
        <outline val="0"/>
        <shadow val="0"/>
        <u val="none"/>
        <vertAlign val="baseline"/>
        <sz val="10"/>
        <color theme="1"/>
        <name val="Calibri"/>
        <family val="2"/>
        <scheme val="none"/>
      </font>
      <numFmt numFmtId="166" formatCode="&quot;$&quot;#,##0"/>
      <fill>
        <patternFill patternType="none">
          <fgColor indexed="64"/>
          <bgColor indexed="65"/>
        </patternFill>
      </fill>
    </dxf>
    <dxf>
      <font>
        <b val="0"/>
        <i val="0"/>
        <strike val="0"/>
        <condense val="0"/>
        <extend val="0"/>
        <outline val="0"/>
        <shadow val="0"/>
        <u val="none"/>
        <vertAlign val="baseline"/>
        <sz val="10"/>
        <color theme="1"/>
        <name val="Calibri"/>
        <family val="2"/>
        <scheme val="none"/>
      </font>
      <numFmt numFmtId="164" formatCode="0.0%"/>
      <fill>
        <patternFill patternType="none">
          <fgColor indexed="64"/>
          <bgColor indexed="65"/>
        </patternFill>
      </fill>
    </dxf>
    <dxf>
      <font>
        <b val="0"/>
        <i val="0"/>
        <strike val="0"/>
        <condense val="0"/>
        <extend val="0"/>
        <outline val="0"/>
        <shadow val="0"/>
        <u val="none"/>
        <vertAlign val="baseline"/>
        <sz val="10"/>
        <color theme="1"/>
        <name val="Calibri"/>
        <family val="2"/>
        <scheme val="none"/>
      </font>
      <numFmt numFmtId="164" formatCode="0.0%"/>
      <fill>
        <patternFill patternType="none">
          <fgColor indexed="64"/>
          <bgColor indexed="65"/>
        </patternFill>
      </fill>
    </dxf>
    <dxf>
      <font>
        <b val="0"/>
        <i val="0"/>
        <strike val="0"/>
        <condense val="0"/>
        <extend val="0"/>
        <outline val="0"/>
        <shadow val="0"/>
        <u val="none"/>
        <vertAlign val="baseline"/>
        <sz val="10"/>
        <color theme="1"/>
        <name val="Calibri"/>
        <family val="2"/>
        <scheme val="none"/>
      </font>
      <numFmt numFmtId="164" formatCode="0.0%"/>
      <fill>
        <patternFill patternType="none">
          <fgColor indexed="64"/>
          <bgColor indexed="65"/>
        </patternFill>
      </fill>
    </dxf>
    <dxf>
      <font>
        <b val="0"/>
        <i val="0"/>
        <strike val="0"/>
        <condense val="0"/>
        <extend val="0"/>
        <outline val="0"/>
        <shadow val="0"/>
        <u val="none"/>
        <vertAlign val="baseline"/>
        <sz val="10"/>
        <color theme="1"/>
        <name val="Calibri"/>
        <family val="2"/>
        <scheme val="none"/>
      </font>
      <numFmt numFmtId="164" formatCode="0.0%"/>
      <fill>
        <patternFill patternType="none">
          <fgColor indexed="64"/>
          <bgColor auto="1"/>
        </patternFill>
      </fill>
    </dxf>
    <dxf>
      <font>
        <b val="0"/>
        <i val="0"/>
        <strike val="0"/>
        <condense val="0"/>
        <extend val="0"/>
        <outline val="0"/>
        <shadow val="0"/>
        <u val="none"/>
        <vertAlign val="baseline"/>
        <sz val="10"/>
        <color theme="1"/>
        <name val="Calibri"/>
        <family val="2"/>
        <scheme val="none"/>
      </font>
      <numFmt numFmtId="164" formatCode="0.0%"/>
      <fill>
        <patternFill patternType="none">
          <fgColor indexed="64"/>
          <bgColor auto="1"/>
        </patternFill>
      </fill>
    </dxf>
    <dxf>
      <font>
        <b val="0"/>
        <i val="0"/>
        <strike val="0"/>
        <condense val="0"/>
        <extend val="0"/>
        <outline val="0"/>
        <shadow val="0"/>
        <u val="none"/>
        <vertAlign val="baseline"/>
        <sz val="10"/>
        <color theme="1"/>
        <name val="Calibri"/>
        <family val="2"/>
        <scheme val="none"/>
      </font>
      <numFmt numFmtId="164" formatCode="0.0%"/>
      <fill>
        <patternFill patternType="none">
          <fgColor indexed="64"/>
          <bgColor auto="1"/>
        </patternFill>
      </fill>
    </dxf>
    <dxf>
      <font>
        <b val="0"/>
        <i val="0"/>
        <strike val="0"/>
        <condense val="0"/>
        <extend val="0"/>
        <outline val="0"/>
        <shadow val="0"/>
        <u val="none"/>
        <vertAlign val="baseline"/>
        <sz val="10"/>
        <color theme="1"/>
        <name val="Calibri"/>
        <family val="2"/>
        <scheme val="none"/>
      </font>
      <numFmt numFmtId="164" formatCode="0.0%"/>
      <fill>
        <patternFill patternType="none">
          <fgColor indexed="64"/>
          <bgColor auto="1"/>
        </patternFill>
      </fill>
    </dxf>
    <dxf>
      <font>
        <b val="0"/>
        <i val="0"/>
        <strike val="0"/>
        <condense val="0"/>
        <extend val="0"/>
        <outline val="0"/>
        <shadow val="0"/>
        <u val="none"/>
        <vertAlign val="baseline"/>
        <sz val="10"/>
        <color theme="1"/>
        <name val="Calibri"/>
        <family val="2"/>
        <scheme val="none"/>
      </font>
      <numFmt numFmtId="164" formatCode="0.0%"/>
      <fill>
        <patternFill patternType="none">
          <fgColor indexed="64"/>
          <bgColor auto="1"/>
        </patternFill>
      </fill>
    </dxf>
    <dxf>
      <font>
        <b val="0"/>
        <i val="0"/>
        <strike val="0"/>
        <condense val="0"/>
        <extend val="0"/>
        <outline val="0"/>
        <shadow val="0"/>
        <u val="none"/>
        <vertAlign val="baseline"/>
        <sz val="10"/>
        <color theme="1"/>
        <name val="Calibri"/>
        <family val="2"/>
        <scheme val="none"/>
      </font>
      <numFmt numFmtId="164" formatCode="0.0%"/>
      <fill>
        <patternFill patternType="none">
          <fgColor indexed="64"/>
          <bgColor auto="1"/>
        </patternFill>
      </fill>
    </dxf>
    <dxf>
      <font>
        <b val="0"/>
        <i val="0"/>
        <strike val="0"/>
        <condense val="0"/>
        <extend val="0"/>
        <outline val="0"/>
        <shadow val="0"/>
        <u val="none"/>
        <vertAlign val="baseline"/>
        <sz val="10"/>
        <color theme="1"/>
        <name val="Calibri"/>
        <family val="2"/>
        <scheme val="none"/>
      </font>
      <numFmt numFmtId="164" formatCode="0.0%"/>
      <fill>
        <patternFill patternType="none">
          <fgColor indexed="64"/>
          <bgColor indexed="65"/>
        </patternFill>
      </fill>
    </dxf>
    <dxf>
      <font>
        <b val="0"/>
        <i val="0"/>
        <strike val="0"/>
        <condense val="0"/>
        <extend val="0"/>
        <outline val="0"/>
        <shadow val="0"/>
        <u val="none"/>
        <vertAlign val="baseline"/>
        <sz val="10"/>
        <color theme="1"/>
        <name val="Calibri"/>
        <family val="2"/>
        <scheme val="none"/>
      </font>
      <numFmt numFmtId="164" formatCode="0.0%"/>
      <fill>
        <patternFill patternType="none">
          <fgColor indexed="64"/>
          <bgColor auto="1"/>
        </patternFill>
      </fill>
    </dxf>
    <dxf>
      <font>
        <b val="0"/>
        <i val="0"/>
        <strike val="0"/>
        <condense val="0"/>
        <extend val="0"/>
        <outline val="0"/>
        <shadow val="0"/>
        <u val="none"/>
        <vertAlign val="baseline"/>
        <sz val="10"/>
        <color theme="1"/>
        <name val="Calibri"/>
        <family val="2"/>
        <scheme val="none"/>
      </font>
      <numFmt numFmtId="164" formatCode="0.0%"/>
      <fill>
        <patternFill patternType="none">
          <fgColor indexed="64"/>
          <bgColor auto="1"/>
        </patternFill>
      </fill>
    </dxf>
    <dxf>
      <font>
        <b val="0"/>
        <i val="0"/>
        <strike val="0"/>
        <condense val="0"/>
        <extend val="0"/>
        <outline val="0"/>
        <shadow val="0"/>
        <u val="none"/>
        <vertAlign val="baseline"/>
        <sz val="10"/>
        <color theme="1"/>
        <name val="Calibri"/>
        <family val="2"/>
        <scheme val="none"/>
      </font>
      <numFmt numFmtId="164" formatCode="0.0%"/>
      <fill>
        <patternFill patternType="none">
          <fgColor indexed="64"/>
          <bgColor auto="1"/>
        </patternFill>
      </fill>
    </dxf>
    <dxf>
      <font>
        <b val="0"/>
        <i val="0"/>
        <strike val="0"/>
        <condense val="0"/>
        <extend val="0"/>
        <outline val="0"/>
        <shadow val="0"/>
        <u val="none"/>
        <vertAlign val="baseline"/>
        <sz val="10"/>
        <color theme="1"/>
        <name val="Calibri"/>
        <family val="2"/>
        <scheme val="none"/>
      </font>
      <numFmt numFmtId="164" formatCode="0.0%"/>
      <fill>
        <patternFill patternType="none">
          <fgColor indexed="64"/>
          <bgColor auto="1"/>
        </patternFill>
      </fill>
    </dxf>
    <dxf>
      <font>
        <b val="0"/>
        <i val="0"/>
        <strike val="0"/>
        <condense val="0"/>
        <extend val="0"/>
        <outline val="0"/>
        <shadow val="0"/>
        <u val="none"/>
        <vertAlign val="baseline"/>
        <sz val="10"/>
        <color theme="1"/>
        <name val="Calibri"/>
        <family val="2"/>
        <scheme val="none"/>
      </font>
      <numFmt numFmtId="35" formatCode="_(* #,##0.00_);_(* \(#,##0.00\);_(* &quot;-&quot;??_);_(@_)"/>
    </dxf>
    <dxf>
      <font>
        <b val="0"/>
        <i val="0"/>
        <strike val="0"/>
        <condense val="0"/>
        <extend val="0"/>
        <outline val="0"/>
        <shadow val="0"/>
        <u val="none"/>
        <vertAlign val="baseline"/>
        <sz val="10"/>
        <color theme="1"/>
        <name val="Calibri"/>
        <family val="2"/>
        <scheme val="none"/>
      </font>
      <numFmt numFmtId="14" formatCode="0.00%"/>
    </dxf>
    <dxf>
      <font>
        <b val="0"/>
        <i val="0"/>
        <strike val="0"/>
        <condense val="0"/>
        <extend val="0"/>
        <outline val="0"/>
        <shadow val="0"/>
        <u val="none"/>
        <vertAlign val="baseline"/>
        <sz val="10"/>
        <color theme="1"/>
        <name val="Calibri"/>
        <family val="2"/>
        <scheme val="none"/>
      </font>
      <numFmt numFmtId="14" formatCode="0.00%"/>
    </dxf>
    <dxf>
      <font>
        <b val="0"/>
        <strike val="0"/>
        <outline val="0"/>
        <shadow val="0"/>
        <u val="none"/>
        <vertAlign val="baseline"/>
        <sz val="10"/>
        <color theme="1"/>
        <name val="Calibri"/>
        <family val="2"/>
        <scheme val="none"/>
      </font>
      <numFmt numFmtId="167" formatCode="_(* #,##0_);_(* \(#,##0\);_(* &quot;-&quot;??_);_(@_)"/>
      <fill>
        <patternFill patternType="none">
          <fgColor indexed="64"/>
          <bgColor auto="1"/>
        </patternFill>
      </fill>
      <alignment horizontal="general" vertical="bottom" textRotation="0" wrapText="1" indent="0" justifyLastLine="0" shrinkToFit="0" readingOrder="0"/>
    </dxf>
    <dxf>
      <font>
        <b val="0"/>
        <strike val="0"/>
        <outline val="0"/>
        <shadow val="0"/>
        <u val="none"/>
        <vertAlign val="baseline"/>
        <sz val="10"/>
        <color theme="1"/>
        <name val="Calibri"/>
        <family val="2"/>
        <scheme val="none"/>
      </font>
      <fill>
        <patternFill patternType="none">
          <fgColor indexed="64"/>
          <bgColor auto="1"/>
        </patternFill>
      </fill>
    </dxf>
    <dxf>
      <font>
        <b val="0"/>
        <strike val="0"/>
        <outline val="0"/>
        <shadow val="0"/>
        <u val="none"/>
        <vertAlign val="baseline"/>
        <sz val="10"/>
        <color theme="1"/>
        <name val="Calibri"/>
        <family val="2"/>
        <scheme val="none"/>
      </font>
      <fill>
        <patternFill patternType="none">
          <fgColor indexed="64"/>
          <bgColor auto="1"/>
        </patternFill>
      </fill>
    </dxf>
    <dxf>
      <font>
        <b val="0"/>
        <strike val="0"/>
        <outline val="0"/>
        <shadow val="0"/>
        <u val="none"/>
        <vertAlign val="baseline"/>
        <sz val="10"/>
        <color theme="1"/>
        <name val="Calibri"/>
        <family val="2"/>
        <scheme val="none"/>
      </font>
      <fill>
        <patternFill patternType="none">
          <fgColor indexed="64"/>
          <bgColor auto="1"/>
        </patternFill>
      </fill>
    </dxf>
    <dxf>
      <font>
        <b val="0"/>
        <strike val="0"/>
        <outline val="0"/>
        <shadow val="0"/>
        <u val="none"/>
        <vertAlign val="baseline"/>
        <sz val="10"/>
        <color theme="1"/>
        <name val="Calibri"/>
        <family val="2"/>
        <scheme val="none"/>
      </font>
      <numFmt numFmtId="14" formatCode="0.00%"/>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theme="1"/>
        <name val="Calibri"/>
        <family val="2"/>
        <scheme val="none"/>
      </font>
      <numFmt numFmtId="166" formatCode="&quot;$&quot;#,##0"/>
      <fill>
        <patternFill patternType="none">
          <fgColor indexed="64"/>
          <bgColor auto="1"/>
        </patternFill>
      </fill>
      <alignment horizontal="center" vertical="center" textRotation="0" wrapText="0" indent="0" justifyLastLine="0" shrinkToFit="0" readingOrder="0"/>
    </dxf>
    <dxf>
      <font>
        <b val="0"/>
        <strike val="0"/>
        <outline val="0"/>
        <shadow val="0"/>
        <u val="none"/>
        <vertAlign val="baseline"/>
        <sz val="10"/>
        <color theme="1"/>
        <name val="Calibri"/>
        <family val="2"/>
        <scheme val="none"/>
      </font>
      <numFmt numFmtId="14" formatCode="0.00%"/>
      <fill>
        <patternFill patternType="none">
          <fgColor indexed="64"/>
          <bgColor auto="1"/>
        </patternFill>
      </fill>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scheme val="none"/>
      </font>
      <numFmt numFmtId="14" formatCode="0.00%"/>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scheme val="none"/>
      </font>
      <numFmt numFmtId="14" formatCode="0.00%"/>
      <alignment horizontal="center" vertical="center" textRotation="0" wrapText="0" indent="0" justifyLastLine="0" shrinkToFit="0" readingOrder="0"/>
    </dxf>
    <dxf>
      <font>
        <b val="0"/>
        <strike val="0"/>
        <outline val="0"/>
        <shadow val="0"/>
        <u val="none"/>
        <vertAlign val="baseline"/>
        <sz val="10"/>
        <color theme="1"/>
        <name val="Calibri"/>
        <family val="2"/>
        <scheme val="none"/>
      </font>
      <numFmt numFmtId="165" formatCode="&quot;$&quot;#,##0.00"/>
      <fill>
        <patternFill patternType="none">
          <fgColor indexed="64"/>
          <bgColor auto="1"/>
        </patternFill>
      </fill>
      <alignment horizontal="center" vertical="center" textRotation="0" wrapText="0" indent="0" justifyLastLine="0" shrinkToFit="0" readingOrder="0"/>
    </dxf>
    <dxf>
      <font>
        <b val="0"/>
        <strike val="0"/>
        <outline val="0"/>
        <shadow val="0"/>
        <u val="none"/>
        <vertAlign val="baseline"/>
        <sz val="10"/>
        <color theme="1"/>
        <name val="Calibri"/>
        <family val="2"/>
        <scheme val="none"/>
      </font>
      <numFmt numFmtId="166" formatCode="&quot;$&quot;#,##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scheme val="none"/>
      </font>
      <numFmt numFmtId="167" formatCode="_(* #,##0_);_(* \(#,##0\);_(* &quot;-&quot;??_);_(@_)"/>
      <fill>
        <patternFill patternType="none">
          <fgColor indexed="64"/>
          <bgColor auto="1"/>
        </patternFill>
      </fill>
      <alignment horizontal="center" vertical="center" textRotation="0" wrapText="0" indent="0" justifyLastLine="0" shrinkToFit="0" readingOrder="0"/>
    </dxf>
    <dxf>
      <font>
        <b val="0"/>
        <strike val="0"/>
        <outline val="0"/>
        <shadow val="0"/>
        <u val="none"/>
        <vertAlign val="baseline"/>
        <sz val="10"/>
        <color theme="1"/>
        <name val="Calibri"/>
        <family val="2"/>
        <scheme val="none"/>
      </font>
      <fill>
        <patternFill patternType="none">
          <fgColor indexed="64"/>
          <bgColor auto="1"/>
        </patternFill>
      </fill>
    </dxf>
    <dxf>
      <font>
        <b val="0"/>
        <strike val="0"/>
        <outline val="0"/>
        <shadow val="0"/>
        <u val="none"/>
        <vertAlign val="baseline"/>
        <sz val="10"/>
        <color theme="1"/>
        <name val="Calibri"/>
        <family val="2"/>
        <scheme val="none"/>
      </font>
      <fill>
        <patternFill patternType="none">
          <fgColor indexed="64"/>
          <bgColor auto="1"/>
        </patternFill>
      </fill>
    </dxf>
    <dxf>
      <font>
        <b val="0"/>
        <strike val="0"/>
        <outline val="0"/>
        <shadow val="0"/>
        <u val="none"/>
        <vertAlign val="baseline"/>
        <sz val="10"/>
        <color theme="1"/>
        <name val="Calibri"/>
        <family val="2"/>
        <scheme val="none"/>
      </font>
      <fill>
        <patternFill patternType="none">
          <fgColor indexed="64"/>
          <bgColor auto="1"/>
        </patternFill>
      </fill>
    </dxf>
    <dxf>
      <font>
        <b val="0"/>
        <strike val="0"/>
        <outline val="0"/>
        <shadow val="0"/>
        <u val="none"/>
        <vertAlign val="baseline"/>
        <sz val="10"/>
        <color theme="1"/>
        <name val="Calibri"/>
        <family val="2"/>
        <scheme val="none"/>
      </font>
      <fill>
        <patternFill patternType="none">
          <fgColor indexed="64"/>
          <bgColor auto="1"/>
        </patternFill>
      </fill>
    </dxf>
    <dxf>
      <font>
        <b val="0"/>
        <strike val="0"/>
        <outline val="0"/>
        <shadow val="0"/>
        <u val="none"/>
        <vertAlign val="baseline"/>
        <sz val="10"/>
        <color theme="1"/>
        <name val="Calibri"/>
        <family val="2"/>
        <scheme val="none"/>
      </font>
      <fill>
        <patternFill patternType="none">
          <fgColor indexed="64"/>
          <bgColor auto="1"/>
        </patternFill>
      </fill>
    </dxf>
    <dxf>
      <font>
        <b val="0"/>
        <strike val="0"/>
        <outline val="0"/>
        <shadow val="0"/>
        <u val="none"/>
        <vertAlign val="baseline"/>
        <sz val="10"/>
        <color theme="1"/>
        <name val="Calibri"/>
        <family val="2"/>
        <scheme val="none"/>
      </font>
      <fill>
        <patternFill patternType="none">
          <fgColor indexed="64"/>
          <bgColor auto="1"/>
        </patternFill>
      </fill>
    </dxf>
    <dxf>
      <font>
        <b val="0"/>
        <i val="0"/>
        <strike val="0"/>
        <condense val="0"/>
        <extend val="0"/>
        <outline val="0"/>
        <shadow val="0"/>
        <u val="none"/>
        <vertAlign val="baseline"/>
        <sz val="10"/>
        <color theme="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scheme val="none"/>
      </font>
      <alignment horizontal="center" vertical="center" textRotation="0" wrapText="0" indent="0" justifyLastLine="0" shrinkToFit="0" readingOrder="0"/>
    </dxf>
    <dxf>
      <font>
        <b val="0"/>
        <strike val="0"/>
        <outline val="0"/>
        <shadow val="0"/>
        <u val="none"/>
        <vertAlign val="baseline"/>
        <sz val="10"/>
        <color theme="1"/>
        <name val="Calibri"/>
        <family val="2"/>
        <scheme val="none"/>
      </font>
      <fill>
        <patternFill patternType="none">
          <fgColor indexed="64"/>
          <bgColor auto="1"/>
        </patternFill>
      </fill>
    </dxf>
    <dxf>
      <font>
        <b val="0"/>
        <strike val="0"/>
        <outline val="0"/>
        <shadow val="0"/>
        <u val="none"/>
        <vertAlign val="baseline"/>
        <sz val="10"/>
        <color theme="1"/>
        <name val="Calibri"/>
        <family val="2"/>
        <scheme val="none"/>
      </font>
      <fill>
        <patternFill patternType="none">
          <fgColor indexed="64"/>
          <bgColor auto="1"/>
        </patternFill>
      </fill>
    </dxf>
    <dxf>
      <font>
        <b val="0"/>
        <strike val="0"/>
        <outline val="0"/>
        <shadow val="0"/>
        <u val="none"/>
        <vertAlign val="baseline"/>
        <sz val="10"/>
        <color theme="1"/>
        <name val="Calibri"/>
        <family val="2"/>
        <scheme val="none"/>
      </font>
      <fill>
        <patternFill patternType="none">
          <fgColor indexed="64"/>
          <bgColor auto="1"/>
        </patternFill>
      </fill>
    </dxf>
    <dxf>
      <font>
        <b val="0"/>
        <strike val="0"/>
        <outline val="0"/>
        <shadow val="0"/>
        <u val="none"/>
        <vertAlign val="baseline"/>
        <sz val="10"/>
        <color theme="1"/>
        <name val="Calibri"/>
        <family val="2"/>
        <scheme val="none"/>
      </font>
      <fill>
        <patternFill patternType="none">
          <fgColor indexed="64"/>
          <bgColor auto="1"/>
        </patternFill>
      </fill>
    </dxf>
    <dxf>
      <font>
        <b/>
        <strike val="0"/>
        <outline val="0"/>
        <shadow val="0"/>
        <u val="none"/>
        <vertAlign val="baseline"/>
        <sz val="10"/>
        <color theme="1"/>
        <name val="Calibri"/>
        <family val="2"/>
        <scheme val="none"/>
      </font>
      <fill>
        <patternFill patternType="solid">
          <fgColor indexed="64"/>
          <bgColor theme="2" tint="-4.9989318521683403E-2"/>
        </patternFill>
      </fill>
      <alignment horizontal="center" vertical="bottom" textRotation="0" wrapText="1" indent="0" justifyLastLine="0" shrinkToFit="0" readingOrder="0"/>
    </dxf>
    <dxf>
      <fill>
        <patternFill patternType="solid">
          <fgColor rgb="FFF6F8F9"/>
          <bgColor rgb="FFF6F8F9"/>
        </patternFill>
      </fill>
    </dxf>
    <dxf>
      <fill>
        <patternFill patternType="solid">
          <fgColor rgb="FFFFFFFF"/>
          <bgColor rgb="FFFFFFFF"/>
        </patternFill>
      </fill>
    </dxf>
    <dxf>
      <fill>
        <patternFill patternType="solid">
          <fgColor rgb="FF13204A"/>
          <bgColor rgb="FF13204A"/>
        </patternFill>
      </fill>
    </dxf>
  </dxfs>
  <tableStyles count="1" defaultTableStyle="TableStyleMedium2" defaultPivotStyle="PivotStyleLight16">
    <tableStyle name="Level 1 Analysis-style" pivot="0" count="3" xr9:uid="{2EE56897-3EC1-465A-8411-D14D17D7AD00}">
      <tableStyleElement type="headerRow" dxfId="194"/>
      <tableStyleElement type="firstRowStripe" dxfId="193"/>
      <tableStyleElement type="secondRowStripe" dxfId="19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Economic opportunity and workforce alignment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v>Economic oportunity and workforce alignment</c:v>
          </c:tx>
          <c:spPr>
            <a:ln w="25400" cap="rnd">
              <a:noFill/>
              <a:round/>
            </a:ln>
            <a:effectLst/>
          </c:spPr>
          <c:marker>
            <c:symbol val="circle"/>
            <c:size val="5"/>
            <c:spPr>
              <a:solidFill>
                <a:schemeClr val="accent2"/>
              </a:solidFill>
              <a:ln w="9525">
                <a:solidFill>
                  <a:schemeClr val="accent2"/>
                </a:solidFill>
              </a:ln>
              <a:effectLst/>
            </c:spPr>
          </c:marker>
          <c:xVal>
            <c:numRef>
              <c:f>'Int Data - Case 1'!$I$2:$I$51</c:f>
              <c:numCache>
                <c:formatCode>General</c:formatCode>
                <c:ptCount val="50"/>
                <c:pt idx="0">
                  <c:v>20.833333333333332</c:v>
                </c:pt>
                <c:pt idx="1">
                  <c:v>43.666666666666664</c:v>
                </c:pt>
                <c:pt idx="2">
                  <c:v>26.833333333333332</c:v>
                </c:pt>
                <c:pt idx="3">
                  <c:v>12.833333333333336</c:v>
                </c:pt>
                <c:pt idx="4">
                  <c:v>40.333333333333336</c:v>
                </c:pt>
                <c:pt idx="5">
                  <c:v>27.166666666666668</c:v>
                </c:pt>
                <c:pt idx="6">
                  <c:v>14</c:v>
                </c:pt>
                <c:pt idx="7">
                  <c:v>26.833333333333332</c:v>
                </c:pt>
                <c:pt idx="8">
                  <c:v>28.166666666666668</c:v>
                </c:pt>
                <c:pt idx="9">
                  <c:v>14.666666666666664</c:v>
                </c:pt>
                <c:pt idx="10">
                  <c:v>4.8333333333333357</c:v>
                </c:pt>
                <c:pt idx="11">
                  <c:v>21.666666666666668</c:v>
                </c:pt>
                <c:pt idx="12">
                  <c:v>28.5</c:v>
                </c:pt>
                <c:pt idx="13">
                  <c:v>30.833333333333332</c:v>
                </c:pt>
                <c:pt idx="14">
                  <c:v>14.833333333333336</c:v>
                </c:pt>
                <c:pt idx="15">
                  <c:v>21.833333333333332</c:v>
                </c:pt>
                <c:pt idx="16">
                  <c:v>40.333333333333336</c:v>
                </c:pt>
                <c:pt idx="17">
                  <c:v>42.666666666666664</c:v>
                </c:pt>
                <c:pt idx="18">
                  <c:v>25.166666666666668</c:v>
                </c:pt>
                <c:pt idx="19">
                  <c:v>13.333333333333336</c:v>
                </c:pt>
                <c:pt idx="20">
                  <c:v>13.666666666666664</c:v>
                </c:pt>
                <c:pt idx="21">
                  <c:v>42.666666666666664</c:v>
                </c:pt>
                <c:pt idx="22">
                  <c:v>19.833333333333332</c:v>
                </c:pt>
                <c:pt idx="23">
                  <c:v>23.166666666666668</c:v>
                </c:pt>
                <c:pt idx="24">
                  <c:v>27</c:v>
                </c:pt>
                <c:pt idx="25">
                  <c:v>17.166666666666664</c:v>
                </c:pt>
                <c:pt idx="26">
                  <c:v>18.333333333333332</c:v>
                </c:pt>
                <c:pt idx="27">
                  <c:v>26.666666666666668</c:v>
                </c:pt>
                <c:pt idx="28">
                  <c:v>19</c:v>
                </c:pt>
                <c:pt idx="29">
                  <c:v>29.5</c:v>
                </c:pt>
                <c:pt idx="30">
                  <c:v>28.666666666666668</c:v>
                </c:pt>
                <c:pt idx="31">
                  <c:v>27.166666666666668</c:v>
                </c:pt>
                <c:pt idx="32">
                  <c:v>23.166666666666668</c:v>
                </c:pt>
                <c:pt idx="33">
                  <c:v>18.333333333333332</c:v>
                </c:pt>
                <c:pt idx="34">
                  <c:v>25.333333333333332</c:v>
                </c:pt>
                <c:pt idx="35">
                  <c:v>25.333333333333332</c:v>
                </c:pt>
                <c:pt idx="36">
                  <c:v>24.166666666666668</c:v>
                </c:pt>
                <c:pt idx="37">
                  <c:v>27.666666666666668</c:v>
                </c:pt>
                <c:pt idx="38">
                  <c:v>32.166666666666671</c:v>
                </c:pt>
                <c:pt idx="39">
                  <c:v>34.166666666666664</c:v>
                </c:pt>
                <c:pt idx="40">
                  <c:v>18.333333333333332</c:v>
                </c:pt>
                <c:pt idx="41">
                  <c:v>20.833333333333332</c:v>
                </c:pt>
                <c:pt idx="42">
                  <c:v>36.5</c:v>
                </c:pt>
                <c:pt idx="43">
                  <c:v>21.833333333333332</c:v>
                </c:pt>
                <c:pt idx="44">
                  <c:v>7.1666666666666643</c:v>
                </c:pt>
                <c:pt idx="45">
                  <c:v>21.666666666666668</c:v>
                </c:pt>
                <c:pt idx="46">
                  <c:v>29.833333333333332</c:v>
                </c:pt>
                <c:pt idx="47">
                  <c:v>35.5</c:v>
                </c:pt>
                <c:pt idx="48">
                  <c:v>20.833333333333332</c:v>
                </c:pt>
                <c:pt idx="49">
                  <c:v>10</c:v>
                </c:pt>
              </c:numCache>
            </c:numRef>
          </c:xVal>
          <c:yVal>
            <c:numRef>
              <c:f>'Int Data - Case 1'!$J$2:$J$51</c:f>
              <c:numCache>
                <c:formatCode>General</c:formatCode>
                <c:ptCount val="50"/>
                <c:pt idx="0">
                  <c:v>29.25</c:v>
                </c:pt>
                <c:pt idx="1">
                  <c:v>44</c:v>
                </c:pt>
                <c:pt idx="2">
                  <c:v>18.5</c:v>
                </c:pt>
                <c:pt idx="3">
                  <c:v>41</c:v>
                </c:pt>
                <c:pt idx="4">
                  <c:v>29</c:v>
                </c:pt>
                <c:pt idx="5">
                  <c:v>19</c:v>
                </c:pt>
                <c:pt idx="6">
                  <c:v>21.75</c:v>
                </c:pt>
                <c:pt idx="7">
                  <c:v>14</c:v>
                </c:pt>
                <c:pt idx="8">
                  <c:v>17.5</c:v>
                </c:pt>
                <c:pt idx="9">
                  <c:v>18</c:v>
                </c:pt>
                <c:pt idx="10">
                  <c:v>16.5</c:v>
                </c:pt>
                <c:pt idx="11">
                  <c:v>19</c:v>
                </c:pt>
                <c:pt idx="12">
                  <c:v>28.5</c:v>
                </c:pt>
                <c:pt idx="13">
                  <c:v>34.5</c:v>
                </c:pt>
                <c:pt idx="14">
                  <c:v>24</c:v>
                </c:pt>
                <c:pt idx="15">
                  <c:v>23.5</c:v>
                </c:pt>
                <c:pt idx="16">
                  <c:v>42.25</c:v>
                </c:pt>
                <c:pt idx="17">
                  <c:v>38</c:v>
                </c:pt>
                <c:pt idx="18">
                  <c:v>15</c:v>
                </c:pt>
                <c:pt idx="19">
                  <c:v>9.75</c:v>
                </c:pt>
                <c:pt idx="20">
                  <c:v>5</c:v>
                </c:pt>
                <c:pt idx="21">
                  <c:v>34</c:v>
                </c:pt>
                <c:pt idx="22">
                  <c:v>15</c:v>
                </c:pt>
                <c:pt idx="23">
                  <c:v>34.5</c:v>
                </c:pt>
                <c:pt idx="24">
                  <c:v>37</c:v>
                </c:pt>
                <c:pt idx="25">
                  <c:v>29</c:v>
                </c:pt>
                <c:pt idx="26">
                  <c:v>30</c:v>
                </c:pt>
                <c:pt idx="27">
                  <c:v>40.5</c:v>
                </c:pt>
                <c:pt idx="28">
                  <c:v>25</c:v>
                </c:pt>
                <c:pt idx="29">
                  <c:v>12.5</c:v>
                </c:pt>
                <c:pt idx="30">
                  <c:v>33</c:v>
                </c:pt>
                <c:pt idx="31">
                  <c:v>25.25</c:v>
                </c:pt>
                <c:pt idx="32">
                  <c:v>24</c:v>
                </c:pt>
                <c:pt idx="33">
                  <c:v>15</c:v>
                </c:pt>
                <c:pt idx="34">
                  <c:v>18.5</c:v>
                </c:pt>
                <c:pt idx="35">
                  <c:v>42</c:v>
                </c:pt>
                <c:pt idx="36">
                  <c:v>31</c:v>
                </c:pt>
                <c:pt idx="37">
                  <c:v>32</c:v>
                </c:pt>
                <c:pt idx="38">
                  <c:v>18.5</c:v>
                </c:pt>
                <c:pt idx="39">
                  <c:v>23</c:v>
                </c:pt>
                <c:pt idx="40">
                  <c:v>17</c:v>
                </c:pt>
                <c:pt idx="41">
                  <c:v>29</c:v>
                </c:pt>
                <c:pt idx="42">
                  <c:v>20.5</c:v>
                </c:pt>
                <c:pt idx="43">
                  <c:v>22.5</c:v>
                </c:pt>
                <c:pt idx="44">
                  <c:v>5</c:v>
                </c:pt>
                <c:pt idx="45">
                  <c:v>10.25</c:v>
                </c:pt>
                <c:pt idx="46">
                  <c:v>7.5</c:v>
                </c:pt>
                <c:pt idx="47">
                  <c:v>29</c:v>
                </c:pt>
                <c:pt idx="48">
                  <c:v>18</c:v>
                </c:pt>
                <c:pt idx="49">
                  <c:v>38.5</c:v>
                </c:pt>
              </c:numCache>
            </c:numRef>
          </c:yVal>
          <c:smooth val="0"/>
          <c:extLst>
            <c:ext xmlns:c16="http://schemas.microsoft.com/office/drawing/2014/chart" uri="{C3380CC4-5D6E-409C-BE32-E72D297353CC}">
              <c16:uniqueId val="{00000000-FA95-4DC3-A71D-4EEECFB6E97F}"/>
            </c:ext>
          </c:extLst>
        </c:ser>
        <c:ser>
          <c:idx val="0"/>
          <c:order val="1"/>
          <c:tx>
            <c:v>HIGHLIGHTEDSTATE</c:v>
          </c:tx>
          <c:spPr>
            <a:ln w="25400" cap="rnd">
              <a:noFill/>
              <a:round/>
            </a:ln>
            <a:effectLst/>
          </c:spPr>
          <c:marker>
            <c:symbol val="circle"/>
            <c:size val="5"/>
            <c:spPr>
              <a:solidFill>
                <a:schemeClr val="accent1"/>
              </a:solidFill>
              <a:ln w="9525">
                <a:solidFill>
                  <a:schemeClr val="accent1"/>
                </a:solidFill>
              </a:ln>
              <a:effectLst/>
            </c:spPr>
          </c:marker>
          <c:xVal>
            <c:numRef>
              <c:f>'Int Data - Case 1'!$P$2:$P$51</c:f>
              <c:numCache>
                <c:formatCode>0.00</c:formatCode>
                <c:ptCount val="5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40.333333333333336</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numCache>
            </c:numRef>
          </c:xVal>
          <c:yVal>
            <c:numRef>
              <c:f>'Int Data - Case 1'!$Q$2:$Q$51</c:f>
              <c:numCache>
                <c:formatCode>0.00</c:formatCode>
                <c:ptCount val="5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42.25</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numCache>
            </c:numRef>
          </c:yVal>
          <c:smooth val="0"/>
          <c:extLst>
            <c:ext xmlns:c16="http://schemas.microsoft.com/office/drawing/2014/chart" uri="{C3380CC4-5D6E-409C-BE32-E72D297353CC}">
              <c16:uniqueId val="{00000001-FA95-4DC3-A71D-4EEECFB6E97F}"/>
            </c:ext>
          </c:extLst>
        </c:ser>
        <c:dLbls>
          <c:showLegendKey val="0"/>
          <c:showVal val="0"/>
          <c:showCatName val="0"/>
          <c:showSerName val="0"/>
          <c:showPercent val="0"/>
          <c:showBubbleSize val="0"/>
        </c:dLbls>
        <c:axId val="1726380847"/>
        <c:axId val="1726379407"/>
      </c:scatterChart>
      <c:valAx>
        <c:axId val="1726380847"/>
        <c:scaling>
          <c:orientation val="minMax"/>
          <c:max val="50"/>
          <c:min val="1"/>
        </c:scaling>
        <c:delete val="0"/>
        <c:axPos val="b"/>
        <c:majorGridlines>
          <c:spPr>
            <a:ln w="12700" cap="flat" cmpd="sng" algn="ctr">
              <a:solidFill>
                <a:schemeClr val="tx1"/>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aseline="0"/>
                  <a:t>Opportunity to improve the state economy</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cross"/>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6379407"/>
        <c:crosses val="autoZero"/>
        <c:crossBetween val="midCat"/>
        <c:majorUnit val="24.5"/>
        <c:minorUnit val="5"/>
      </c:valAx>
      <c:valAx>
        <c:axId val="1726379407"/>
        <c:scaling>
          <c:orientation val="minMax"/>
          <c:max val="50"/>
          <c:min val="1"/>
        </c:scaling>
        <c:delete val="0"/>
        <c:axPos val="l"/>
        <c:majorGridlines>
          <c:spPr>
            <a:ln w="12700" cap="flat" cmpd="sng" algn="ctr">
              <a:solidFill>
                <a:schemeClr val="tx1"/>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Opportunity to improve credential attainment</a:t>
                </a:r>
              </a:p>
            </c:rich>
          </c:tx>
          <c:layout>
            <c:manualLayout>
              <c:xMode val="edge"/>
              <c:yMode val="edge"/>
              <c:x val="2.9019237032950233E-2"/>
              <c:y val="0.15079938789361133"/>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6380847"/>
        <c:crosses val="autoZero"/>
        <c:crossBetween val="midCat"/>
        <c:majorUnit val="24.5"/>
        <c:minorUnit val="5"/>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Higher education appropriations and financial aid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v>Higher education appropriations and financial aid</c:v>
          </c:tx>
          <c:spPr>
            <a:ln w="25400" cap="rnd">
              <a:noFill/>
              <a:round/>
            </a:ln>
            <a:effectLst/>
          </c:spPr>
          <c:marker>
            <c:symbol val="circle"/>
            <c:size val="5"/>
            <c:spPr>
              <a:solidFill>
                <a:schemeClr val="accent2"/>
              </a:solidFill>
              <a:ln w="9525">
                <a:solidFill>
                  <a:schemeClr val="accent2"/>
                </a:solidFill>
              </a:ln>
              <a:effectLst/>
            </c:spPr>
          </c:marker>
          <c:xVal>
            <c:numRef>
              <c:f>'Int Data - Case 2'!$O$2:$O$51</c:f>
              <c:numCache>
                <c:formatCode>General</c:formatCode>
                <c:ptCount val="50"/>
                <c:pt idx="0">
                  <c:v>40.5</c:v>
                </c:pt>
                <c:pt idx="1">
                  <c:v>41</c:v>
                </c:pt>
                <c:pt idx="2">
                  <c:v>14.25</c:v>
                </c:pt>
                <c:pt idx="3">
                  <c:v>30.5</c:v>
                </c:pt>
                <c:pt idx="4">
                  <c:v>40.5</c:v>
                </c:pt>
                <c:pt idx="5">
                  <c:v>5.75</c:v>
                </c:pt>
                <c:pt idx="6">
                  <c:v>35.5</c:v>
                </c:pt>
                <c:pt idx="7">
                  <c:v>9.5</c:v>
                </c:pt>
                <c:pt idx="8">
                  <c:v>19</c:v>
                </c:pt>
                <c:pt idx="9">
                  <c:v>35.5</c:v>
                </c:pt>
                <c:pt idx="10">
                  <c:v>47</c:v>
                </c:pt>
                <c:pt idx="11">
                  <c:v>30</c:v>
                </c:pt>
                <c:pt idx="12">
                  <c:v>43.5</c:v>
                </c:pt>
                <c:pt idx="13">
                  <c:v>13.5</c:v>
                </c:pt>
                <c:pt idx="14">
                  <c:v>14</c:v>
                </c:pt>
                <c:pt idx="15">
                  <c:v>30.5</c:v>
                </c:pt>
                <c:pt idx="16">
                  <c:v>26</c:v>
                </c:pt>
                <c:pt idx="17">
                  <c:v>19</c:v>
                </c:pt>
                <c:pt idx="18">
                  <c:v>20.5</c:v>
                </c:pt>
                <c:pt idx="19">
                  <c:v>38.5</c:v>
                </c:pt>
                <c:pt idx="20">
                  <c:v>22.25</c:v>
                </c:pt>
                <c:pt idx="21">
                  <c:v>20</c:v>
                </c:pt>
                <c:pt idx="22">
                  <c:v>21</c:v>
                </c:pt>
                <c:pt idx="23">
                  <c:v>30.5</c:v>
                </c:pt>
                <c:pt idx="24">
                  <c:v>11</c:v>
                </c:pt>
                <c:pt idx="26">
                  <c:v>41.5</c:v>
                </c:pt>
                <c:pt idx="27">
                  <c:v>12</c:v>
                </c:pt>
                <c:pt idx="28">
                  <c:v>0</c:v>
                </c:pt>
                <c:pt idx="29">
                  <c:v>21</c:v>
                </c:pt>
                <c:pt idx="30">
                  <c:v>47</c:v>
                </c:pt>
                <c:pt idx="31">
                  <c:v>30.5</c:v>
                </c:pt>
                <c:pt idx="32">
                  <c:v>41.5</c:v>
                </c:pt>
                <c:pt idx="33">
                  <c:v>36.5</c:v>
                </c:pt>
                <c:pt idx="34">
                  <c:v>5.5</c:v>
                </c:pt>
                <c:pt idx="35">
                  <c:v>12</c:v>
                </c:pt>
                <c:pt idx="36">
                  <c:v>24.5</c:v>
                </c:pt>
                <c:pt idx="37">
                  <c:v>1.5</c:v>
                </c:pt>
                <c:pt idx="38">
                  <c:v>6</c:v>
                </c:pt>
                <c:pt idx="39">
                  <c:v>19.25</c:v>
                </c:pt>
                <c:pt idx="40">
                  <c:v>17.5</c:v>
                </c:pt>
                <c:pt idx="41">
                  <c:v>36</c:v>
                </c:pt>
                <c:pt idx="42">
                  <c:v>31</c:v>
                </c:pt>
                <c:pt idx="43">
                  <c:v>33.5</c:v>
                </c:pt>
                <c:pt idx="44">
                  <c:v>1.5</c:v>
                </c:pt>
                <c:pt idx="45">
                  <c:v>20</c:v>
                </c:pt>
                <c:pt idx="46">
                  <c:v>22.5</c:v>
                </c:pt>
                <c:pt idx="47">
                  <c:v>23</c:v>
                </c:pt>
                <c:pt idx="48">
                  <c:v>24</c:v>
                </c:pt>
                <c:pt idx="49">
                  <c:v>46</c:v>
                </c:pt>
              </c:numCache>
            </c:numRef>
          </c:xVal>
          <c:yVal>
            <c:numRef>
              <c:f>'Int Data - Case 2'!$P$2:$P$51</c:f>
              <c:numCache>
                <c:formatCode>General</c:formatCode>
                <c:ptCount val="50"/>
                <c:pt idx="0">
                  <c:v>19.5</c:v>
                </c:pt>
                <c:pt idx="1">
                  <c:v>14.5</c:v>
                </c:pt>
                <c:pt idx="2">
                  <c:v>26</c:v>
                </c:pt>
                <c:pt idx="3">
                  <c:v>12.5</c:v>
                </c:pt>
                <c:pt idx="4">
                  <c:v>43</c:v>
                </c:pt>
                <c:pt idx="5">
                  <c:v>30.5</c:v>
                </c:pt>
                <c:pt idx="6">
                  <c:v>20.5</c:v>
                </c:pt>
                <c:pt idx="7">
                  <c:v>21.5</c:v>
                </c:pt>
                <c:pt idx="8">
                  <c:v>23</c:v>
                </c:pt>
                <c:pt idx="9">
                  <c:v>23</c:v>
                </c:pt>
                <c:pt idx="10">
                  <c:v>22</c:v>
                </c:pt>
                <c:pt idx="11">
                  <c:v>23.5</c:v>
                </c:pt>
                <c:pt idx="12">
                  <c:v>38</c:v>
                </c:pt>
                <c:pt idx="13">
                  <c:v>32.5</c:v>
                </c:pt>
                <c:pt idx="14">
                  <c:v>22</c:v>
                </c:pt>
                <c:pt idx="15">
                  <c:v>18</c:v>
                </c:pt>
                <c:pt idx="16">
                  <c:v>30.5</c:v>
                </c:pt>
                <c:pt idx="17">
                  <c:v>24</c:v>
                </c:pt>
                <c:pt idx="18">
                  <c:v>27.5</c:v>
                </c:pt>
                <c:pt idx="19">
                  <c:v>28.5</c:v>
                </c:pt>
                <c:pt idx="20">
                  <c:v>26</c:v>
                </c:pt>
                <c:pt idx="21">
                  <c:v>20</c:v>
                </c:pt>
                <c:pt idx="22">
                  <c:v>30.5</c:v>
                </c:pt>
                <c:pt idx="23">
                  <c:v>16</c:v>
                </c:pt>
                <c:pt idx="24">
                  <c:v>17</c:v>
                </c:pt>
                <c:pt idx="25">
                  <c:v>7.5</c:v>
                </c:pt>
                <c:pt idx="26">
                  <c:v>17</c:v>
                </c:pt>
                <c:pt idx="27">
                  <c:v>14.5</c:v>
                </c:pt>
                <c:pt idx="28">
                  <c:v>10.5</c:v>
                </c:pt>
                <c:pt idx="29">
                  <c:v>39.5</c:v>
                </c:pt>
                <c:pt idx="30">
                  <c:v>26</c:v>
                </c:pt>
                <c:pt idx="31">
                  <c:v>31.5</c:v>
                </c:pt>
                <c:pt idx="32">
                  <c:v>29</c:v>
                </c:pt>
                <c:pt idx="33">
                  <c:v>21</c:v>
                </c:pt>
                <c:pt idx="34">
                  <c:v>16.5</c:v>
                </c:pt>
                <c:pt idx="35">
                  <c:v>24</c:v>
                </c:pt>
                <c:pt idx="36">
                  <c:v>27</c:v>
                </c:pt>
                <c:pt idx="37">
                  <c:v>32</c:v>
                </c:pt>
                <c:pt idx="38">
                  <c:v>26.75</c:v>
                </c:pt>
                <c:pt idx="39">
                  <c:v>27</c:v>
                </c:pt>
                <c:pt idx="40">
                  <c:v>3</c:v>
                </c:pt>
                <c:pt idx="41">
                  <c:v>26</c:v>
                </c:pt>
                <c:pt idx="42">
                  <c:v>32</c:v>
                </c:pt>
                <c:pt idx="43">
                  <c:v>6.5</c:v>
                </c:pt>
                <c:pt idx="44">
                  <c:v>36</c:v>
                </c:pt>
                <c:pt idx="45">
                  <c:v>35.5</c:v>
                </c:pt>
                <c:pt idx="46">
                  <c:v>42.5</c:v>
                </c:pt>
                <c:pt idx="47">
                  <c:v>26</c:v>
                </c:pt>
                <c:pt idx="48">
                  <c:v>24.5</c:v>
                </c:pt>
                <c:pt idx="49">
                  <c:v>33.25</c:v>
                </c:pt>
              </c:numCache>
            </c:numRef>
          </c:yVal>
          <c:smooth val="0"/>
          <c:extLst>
            <c:ext xmlns:c16="http://schemas.microsoft.com/office/drawing/2014/chart" uri="{C3380CC4-5D6E-409C-BE32-E72D297353CC}">
              <c16:uniqueId val="{00000000-4B55-4809-A4F2-559C46E8149E}"/>
            </c:ext>
          </c:extLst>
        </c:ser>
        <c:ser>
          <c:idx val="0"/>
          <c:order val="1"/>
          <c:tx>
            <c:v>HIGHLIGHTEDSTATE</c:v>
          </c:tx>
          <c:spPr>
            <a:ln w="25400" cap="rnd">
              <a:noFill/>
              <a:round/>
            </a:ln>
            <a:effectLst/>
          </c:spPr>
          <c:marker>
            <c:symbol val="circle"/>
            <c:size val="5"/>
            <c:spPr>
              <a:solidFill>
                <a:schemeClr val="accent1"/>
              </a:solidFill>
              <a:ln w="9525">
                <a:solidFill>
                  <a:schemeClr val="accent1"/>
                </a:solidFill>
              </a:ln>
              <a:effectLst/>
            </c:spPr>
          </c:marker>
          <c:xVal>
            <c:numRef>
              <c:f>'Int Data - Case 2'!$V$2:$V$51</c:f>
              <c:numCache>
                <c:formatCode>0.00</c:formatCode>
                <c:ptCount val="5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26</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numCache>
            </c:numRef>
          </c:xVal>
          <c:yVal>
            <c:numRef>
              <c:f>'Int Data - Case 2'!$W$2:$W$51</c:f>
              <c:numCache>
                <c:formatCode>0.00</c:formatCode>
                <c:ptCount val="5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30.5</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numCache>
            </c:numRef>
          </c:yVal>
          <c:smooth val="0"/>
          <c:extLst>
            <c:ext xmlns:c16="http://schemas.microsoft.com/office/drawing/2014/chart" uri="{C3380CC4-5D6E-409C-BE32-E72D297353CC}">
              <c16:uniqueId val="{00000001-4B55-4809-A4F2-559C46E8149E}"/>
            </c:ext>
          </c:extLst>
        </c:ser>
        <c:dLbls>
          <c:showLegendKey val="0"/>
          <c:showVal val="0"/>
          <c:showCatName val="0"/>
          <c:showSerName val="0"/>
          <c:showPercent val="0"/>
          <c:showBubbleSize val="0"/>
        </c:dLbls>
        <c:axId val="1726380847"/>
        <c:axId val="1726379407"/>
      </c:scatterChart>
      <c:valAx>
        <c:axId val="1726380847"/>
        <c:scaling>
          <c:orientation val="minMax"/>
          <c:max val="50"/>
          <c:min val="1"/>
        </c:scaling>
        <c:delete val="0"/>
        <c:axPos val="b"/>
        <c:majorGridlines>
          <c:spPr>
            <a:ln w="12700" cap="flat" cmpd="sng" algn="ctr">
              <a:solidFill>
                <a:schemeClr val="tx1"/>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000" b="0" i="0" u="none" strike="noStrike" kern="1200" baseline="0">
                    <a:solidFill>
                      <a:sysClr val="windowText" lastClr="000000">
                        <a:lumMod val="65000"/>
                        <a:lumOff val="35000"/>
                      </a:sysClr>
                    </a:solidFill>
                  </a:rPr>
                  <a:t>Overall higher education spending</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cross"/>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6379407"/>
        <c:crosses val="autoZero"/>
        <c:crossBetween val="midCat"/>
        <c:majorUnit val="24.5"/>
        <c:minorUnit val="5"/>
      </c:valAx>
      <c:valAx>
        <c:axId val="1726379407"/>
        <c:scaling>
          <c:orientation val="minMax"/>
          <c:max val="50"/>
          <c:min val="1"/>
        </c:scaling>
        <c:delete val="0"/>
        <c:axPos val="l"/>
        <c:majorGridlines>
          <c:spPr>
            <a:ln w="12700" cap="flat" cmpd="sng" algn="ctr">
              <a:solidFill>
                <a:schemeClr val="tx1"/>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000" b="0" i="0" u="none" strike="noStrike" kern="1200" baseline="0">
                    <a:solidFill>
                      <a:sysClr val="windowText" lastClr="000000">
                        <a:lumMod val="65000"/>
                        <a:lumOff val="35000"/>
                      </a:sysClr>
                    </a:solidFill>
                  </a:rPr>
                  <a:t>Financial aid spending &amp; orientation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6380847"/>
        <c:crosses val="autoZero"/>
        <c:crossBetween val="midCat"/>
        <c:majorUnit val="24.5"/>
        <c:minorUnit val="5"/>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Enrollment and performance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1"/>
          <c:order val="0"/>
          <c:tx>
            <c:v>Enrollment and performance</c:v>
          </c:tx>
          <c:spPr>
            <a:ln w="25400" cap="rnd">
              <a:noFill/>
              <a:round/>
            </a:ln>
            <a:effectLst/>
          </c:spPr>
          <c:marker>
            <c:symbol val="circle"/>
            <c:size val="5"/>
            <c:spPr>
              <a:solidFill>
                <a:schemeClr val="accent2"/>
              </a:solidFill>
              <a:ln w="9525">
                <a:solidFill>
                  <a:schemeClr val="accent2"/>
                </a:solidFill>
              </a:ln>
              <a:effectLst/>
            </c:spPr>
          </c:marker>
          <c:xVal>
            <c:numRef>
              <c:f>'Int Data - Case 3'!$J$2:$J$51</c:f>
              <c:numCache>
                <c:formatCode>General</c:formatCode>
                <c:ptCount val="50"/>
                <c:pt idx="0">
                  <c:v>14</c:v>
                </c:pt>
                <c:pt idx="2">
                  <c:v>31</c:v>
                </c:pt>
                <c:pt idx="3">
                  <c:v>29</c:v>
                </c:pt>
                <c:pt idx="4">
                  <c:v>36</c:v>
                </c:pt>
                <c:pt idx="5">
                  <c:v>16</c:v>
                </c:pt>
                <c:pt idx="6">
                  <c:v>44</c:v>
                </c:pt>
                <c:pt idx="7">
                  <c:v>40</c:v>
                </c:pt>
                <c:pt idx="8">
                  <c:v>30</c:v>
                </c:pt>
                <c:pt idx="9">
                  <c:v>32</c:v>
                </c:pt>
                <c:pt idx="10">
                  <c:v>43</c:v>
                </c:pt>
                <c:pt idx="11">
                  <c:v>4</c:v>
                </c:pt>
                <c:pt idx="12">
                  <c:v>38</c:v>
                </c:pt>
                <c:pt idx="13">
                  <c:v>6</c:v>
                </c:pt>
                <c:pt idx="14">
                  <c:v>19</c:v>
                </c:pt>
                <c:pt idx="15">
                  <c:v>27</c:v>
                </c:pt>
                <c:pt idx="16">
                  <c:v>10</c:v>
                </c:pt>
                <c:pt idx="17">
                  <c:v>13</c:v>
                </c:pt>
                <c:pt idx="18">
                  <c:v>3</c:v>
                </c:pt>
                <c:pt idx="19">
                  <c:v>37</c:v>
                </c:pt>
                <c:pt idx="20">
                  <c:v>49</c:v>
                </c:pt>
                <c:pt idx="21">
                  <c:v>33</c:v>
                </c:pt>
                <c:pt idx="22">
                  <c:v>24</c:v>
                </c:pt>
                <c:pt idx="23">
                  <c:v>28</c:v>
                </c:pt>
                <c:pt idx="24">
                  <c:v>23</c:v>
                </c:pt>
                <c:pt idx="25">
                  <c:v>8</c:v>
                </c:pt>
                <c:pt idx="26">
                  <c:v>17</c:v>
                </c:pt>
                <c:pt idx="27">
                  <c:v>22</c:v>
                </c:pt>
                <c:pt idx="28">
                  <c:v>42</c:v>
                </c:pt>
                <c:pt idx="29">
                  <c:v>34</c:v>
                </c:pt>
                <c:pt idx="30">
                  <c:v>39</c:v>
                </c:pt>
                <c:pt idx="31">
                  <c:v>48</c:v>
                </c:pt>
                <c:pt idx="32">
                  <c:v>11</c:v>
                </c:pt>
                <c:pt idx="33">
                  <c:v>9</c:v>
                </c:pt>
                <c:pt idx="34">
                  <c:v>12</c:v>
                </c:pt>
                <c:pt idx="35">
                  <c:v>25</c:v>
                </c:pt>
                <c:pt idx="36">
                  <c:v>47</c:v>
                </c:pt>
                <c:pt idx="37">
                  <c:v>46</c:v>
                </c:pt>
                <c:pt idx="38">
                  <c:v>21</c:v>
                </c:pt>
                <c:pt idx="39">
                  <c:v>2</c:v>
                </c:pt>
                <c:pt idx="40">
                  <c:v>5</c:v>
                </c:pt>
                <c:pt idx="41">
                  <c:v>41</c:v>
                </c:pt>
                <c:pt idx="42">
                  <c:v>7</c:v>
                </c:pt>
                <c:pt idx="43">
                  <c:v>18</c:v>
                </c:pt>
                <c:pt idx="44">
                  <c:v>1</c:v>
                </c:pt>
                <c:pt idx="45">
                  <c:v>26</c:v>
                </c:pt>
                <c:pt idx="46">
                  <c:v>45</c:v>
                </c:pt>
                <c:pt idx="47">
                  <c:v>35</c:v>
                </c:pt>
                <c:pt idx="48">
                  <c:v>15</c:v>
                </c:pt>
                <c:pt idx="49">
                  <c:v>20</c:v>
                </c:pt>
              </c:numCache>
            </c:numRef>
          </c:xVal>
          <c:yVal>
            <c:numRef>
              <c:f>'Int Data - Case 3'!$K$2:$K$51</c:f>
              <c:numCache>
                <c:formatCode>General</c:formatCode>
                <c:ptCount val="50"/>
                <c:pt idx="0">
                  <c:v>25.666666666666668</c:v>
                </c:pt>
                <c:pt idx="2">
                  <c:v>30.333333333333332</c:v>
                </c:pt>
                <c:pt idx="3">
                  <c:v>27.333333333333332</c:v>
                </c:pt>
                <c:pt idx="4">
                  <c:v>18</c:v>
                </c:pt>
                <c:pt idx="5">
                  <c:v>31</c:v>
                </c:pt>
                <c:pt idx="6">
                  <c:v>40</c:v>
                </c:pt>
                <c:pt idx="7">
                  <c:v>47</c:v>
                </c:pt>
                <c:pt idx="8">
                  <c:v>9.6666666666666643</c:v>
                </c:pt>
                <c:pt idx="9">
                  <c:v>18.666666666666668</c:v>
                </c:pt>
                <c:pt idx="10">
                  <c:v>13.666666666666664</c:v>
                </c:pt>
                <c:pt idx="11">
                  <c:v>26.333333333333332</c:v>
                </c:pt>
                <c:pt idx="12">
                  <c:v>10</c:v>
                </c:pt>
                <c:pt idx="13">
                  <c:v>29.666666666666668</c:v>
                </c:pt>
                <c:pt idx="14">
                  <c:v>14.666666666666664</c:v>
                </c:pt>
                <c:pt idx="15">
                  <c:v>23.666666666666668</c:v>
                </c:pt>
                <c:pt idx="16">
                  <c:v>9.6666666666666643</c:v>
                </c:pt>
                <c:pt idx="17">
                  <c:v>43.666666666666664</c:v>
                </c:pt>
                <c:pt idx="18">
                  <c:v>32</c:v>
                </c:pt>
                <c:pt idx="19">
                  <c:v>21.666666666666668</c:v>
                </c:pt>
                <c:pt idx="20">
                  <c:v>34.666666666666664</c:v>
                </c:pt>
                <c:pt idx="21">
                  <c:v>25.333333333333332</c:v>
                </c:pt>
                <c:pt idx="22">
                  <c:v>17.333333333333336</c:v>
                </c:pt>
                <c:pt idx="23">
                  <c:v>22.666666666666668</c:v>
                </c:pt>
                <c:pt idx="24">
                  <c:v>24</c:v>
                </c:pt>
                <c:pt idx="25">
                  <c:v>31.333333333333332</c:v>
                </c:pt>
                <c:pt idx="26">
                  <c:v>15</c:v>
                </c:pt>
                <c:pt idx="27">
                  <c:v>29.666666666666668</c:v>
                </c:pt>
                <c:pt idx="28">
                  <c:v>18.333333333333332</c:v>
                </c:pt>
                <c:pt idx="29">
                  <c:v>13.666666666666664</c:v>
                </c:pt>
                <c:pt idx="30">
                  <c:v>33.333333333333329</c:v>
                </c:pt>
                <c:pt idx="31">
                  <c:v>32.666666666666671</c:v>
                </c:pt>
                <c:pt idx="32">
                  <c:v>20</c:v>
                </c:pt>
                <c:pt idx="33">
                  <c:v>18</c:v>
                </c:pt>
                <c:pt idx="34">
                  <c:v>35</c:v>
                </c:pt>
                <c:pt idx="35">
                  <c:v>35</c:v>
                </c:pt>
                <c:pt idx="36">
                  <c:v>42</c:v>
                </c:pt>
                <c:pt idx="37">
                  <c:v>27.333333333333332</c:v>
                </c:pt>
                <c:pt idx="38">
                  <c:v>40.666666666666664</c:v>
                </c:pt>
                <c:pt idx="39">
                  <c:v>44.333333333333336</c:v>
                </c:pt>
                <c:pt idx="40">
                  <c:v>1.6666666666666643</c:v>
                </c:pt>
                <c:pt idx="41">
                  <c:v>38</c:v>
                </c:pt>
                <c:pt idx="42">
                  <c:v>29.333333333333332</c:v>
                </c:pt>
                <c:pt idx="43">
                  <c:v>28</c:v>
                </c:pt>
                <c:pt idx="44">
                  <c:v>32</c:v>
                </c:pt>
                <c:pt idx="45">
                  <c:v>12.333333333333336</c:v>
                </c:pt>
                <c:pt idx="46">
                  <c:v>16</c:v>
                </c:pt>
                <c:pt idx="47">
                  <c:v>34.333333333333336</c:v>
                </c:pt>
                <c:pt idx="48">
                  <c:v>5.6666666666666643</c:v>
                </c:pt>
                <c:pt idx="49">
                  <c:v>25.333333333333332</c:v>
                </c:pt>
              </c:numCache>
            </c:numRef>
          </c:yVal>
          <c:smooth val="0"/>
          <c:extLst>
            <c:ext xmlns:c16="http://schemas.microsoft.com/office/drawing/2014/chart" uri="{C3380CC4-5D6E-409C-BE32-E72D297353CC}">
              <c16:uniqueId val="{00000000-2CAE-4AB6-8158-BA67A0AE663E}"/>
            </c:ext>
          </c:extLst>
        </c:ser>
        <c:ser>
          <c:idx val="0"/>
          <c:order val="1"/>
          <c:tx>
            <c:v>HIGHLIGHTEDSTATE</c:v>
          </c:tx>
          <c:spPr>
            <a:ln w="25400" cap="rnd">
              <a:noFill/>
              <a:round/>
            </a:ln>
            <a:effectLst/>
          </c:spPr>
          <c:marker>
            <c:symbol val="circle"/>
            <c:size val="5"/>
            <c:spPr>
              <a:solidFill>
                <a:schemeClr val="accent1"/>
              </a:solidFill>
              <a:ln w="9525">
                <a:solidFill>
                  <a:schemeClr val="accent1"/>
                </a:solidFill>
              </a:ln>
              <a:effectLst/>
            </c:spPr>
          </c:marker>
          <c:xVal>
            <c:numRef>
              <c:f>'Int Data - Case 3'!$Q$2:$Q$51</c:f>
              <c:numCache>
                <c:formatCode>0.00</c:formatCode>
                <c:ptCount val="5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10</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numCache>
            </c:numRef>
          </c:xVal>
          <c:yVal>
            <c:numRef>
              <c:f>'Int Data - Case 3'!$R$2:$R$51</c:f>
              <c:numCache>
                <c:formatCode>0.00</c:formatCode>
                <c:ptCount val="5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9.6666666666666643</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numCache>
            </c:numRef>
          </c:yVal>
          <c:smooth val="0"/>
          <c:extLst>
            <c:ext xmlns:c16="http://schemas.microsoft.com/office/drawing/2014/chart" uri="{C3380CC4-5D6E-409C-BE32-E72D297353CC}">
              <c16:uniqueId val="{00000001-2CAE-4AB6-8158-BA67A0AE663E}"/>
            </c:ext>
          </c:extLst>
        </c:ser>
        <c:dLbls>
          <c:showLegendKey val="0"/>
          <c:showVal val="0"/>
          <c:showCatName val="0"/>
          <c:showSerName val="0"/>
          <c:showPercent val="0"/>
          <c:showBubbleSize val="0"/>
        </c:dLbls>
        <c:axId val="1726380847"/>
        <c:axId val="1726379407"/>
      </c:scatterChart>
      <c:valAx>
        <c:axId val="1726380847"/>
        <c:scaling>
          <c:orientation val="minMax"/>
          <c:max val="50"/>
          <c:min val="1"/>
        </c:scaling>
        <c:delete val="0"/>
        <c:axPos val="b"/>
        <c:majorGridlines>
          <c:spPr>
            <a:ln w="12700" cap="flat" cmpd="sng" algn="ctr">
              <a:solidFill>
                <a:schemeClr val="tx1"/>
              </a:solidFill>
              <a:round/>
            </a:ln>
            <a:effectLst/>
          </c:spPr>
        </c:majorGridlines>
        <c:minorGridlines>
          <c:spPr>
            <a:ln w="9525" cap="flat" cmpd="sng" algn="ctr">
              <a:solidFill>
                <a:schemeClr val="tx1">
                  <a:lumMod val="5000"/>
                  <a:lumOff val="95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000" b="0" i="0" u="none" strike="noStrike" kern="1200" baseline="0">
                    <a:solidFill>
                      <a:sysClr val="windowText" lastClr="000000">
                        <a:lumMod val="65000"/>
                        <a:lumOff val="35000"/>
                      </a:sysClr>
                    </a:solidFill>
                  </a:rPr>
                  <a:t>Opportunity to reverse enrollment decline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cross"/>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6379407"/>
        <c:crosses val="autoZero"/>
        <c:crossBetween val="midCat"/>
        <c:majorUnit val="24.5"/>
        <c:minorUnit val="5"/>
      </c:valAx>
      <c:valAx>
        <c:axId val="1726379407"/>
        <c:scaling>
          <c:orientation val="minMax"/>
          <c:max val="50"/>
          <c:min val="1"/>
        </c:scaling>
        <c:delete val="0"/>
        <c:axPos val="l"/>
        <c:majorGridlines>
          <c:spPr>
            <a:ln w="12700" cap="flat" cmpd="sng" algn="ctr">
              <a:solidFill>
                <a:schemeClr val="tx1"/>
              </a:solidFill>
              <a:round/>
            </a:ln>
            <a:effectLst/>
          </c:spPr>
        </c:majorGridlines>
        <c:minorGridlines>
          <c:spPr>
            <a:ln w="9525" cap="flat" cmpd="sng" algn="ctr">
              <a:solidFill>
                <a:schemeClr val="tx1">
                  <a:lumMod val="5000"/>
                  <a:lumOff val="95000"/>
                </a:schemeClr>
              </a:solidFill>
              <a:round/>
            </a:ln>
            <a:effectLst/>
          </c:spPr>
        </c:min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000" b="0" i="0" u="none" strike="noStrike" kern="1200" baseline="0">
                    <a:solidFill>
                      <a:sysClr val="windowText" lastClr="000000">
                        <a:lumMod val="65000"/>
                        <a:lumOff val="35000"/>
                      </a:sysClr>
                    </a:solidFill>
                  </a:rPr>
                  <a:t>Opportunity to improve retention and graduation rates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26380847"/>
        <c:crosses val="autoZero"/>
        <c:crossBetween val="midCat"/>
        <c:majorUnit val="24.5"/>
        <c:minorUnit val="5"/>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217714</xdr:colOff>
      <xdr:row>1</xdr:row>
      <xdr:rowOff>66990</xdr:rowOff>
    </xdr:from>
    <xdr:to>
      <xdr:col>1</xdr:col>
      <xdr:colOff>502418</xdr:colOff>
      <xdr:row>2</xdr:row>
      <xdr:rowOff>123081</xdr:rowOff>
    </xdr:to>
    <xdr:pic>
      <xdr:nvPicPr>
        <xdr:cNvPr id="3" name="Picture 2">
          <a:extLst>
            <a:ext uri="{FF2B5EF4-FFF2-40B4-BE49-F238E27FC236}">
              <a16:creationId xmlns:a16="http://schemas.microsoft.com/office/drawing/2014/main" id="{DF8FD8D6-3F70-46BA-A05B-B2FFE9691F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7714" y="259583"/>
          <a:ext cx="1356528" cy="2486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48</xdr:col>
      <xdr:colOff>9523</xdr:colOff>
      <xdr:row>50</xdr:row>
      <xdr:rowOff>9525</xdr:rowOff>
    </xdr:from>
    <xdr:to>
      <xdr:col>74</xdr:col>
      <xdr:colOff>161924</xdr:colOff>
      <xdr:row>69</xdr:row>
      <xdr:rowOff>149225</xdr:rowOff>
    </xdr:to>
    <xdr:graphicFrame macro="">
      <xdr:nvGraphicFramePr>
        <xdr:cNvPr id="2" name="Chart 1">
          <a:extLst>
            <a:ext uri="{FF2B5EF4-FFF2-40B4-BE49-F238E27FC236}">
              <a16:creationId xmlns:a16="http://schemas.microsoft.com/office/drawing/2014/main" id="{FE6C2CCC-F17B-4937-BAA5-E7E8BEA3AA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48</xdr:col>
      <xdr:colOff>9523</xdr:colOff>
      <xdr:row>97</xdr:row>
      <xdr:rowOff>66675</xdr:rowOff>
    </xdr:from>
    <xdr:to>
      <xdr:col>74</xdr:col>
      <xdr:colOff>161924</xdr:colOff>
      <xdr:row>117</xdr:row>
      <xdr:rowOff>53975</xdr:rowOff>
    </xdr:to>
    <xdr:graphicFrame macro="">
      <xdr:nvGraphicFramePr>
        <xdr:cNvPr id="3" name="Chart 2">
          <a:extLst>
            <a:ext uri="{FF2B5EF4-FFF2-40B4-BE49-F238E27FC236}">
              <a16:creationId xmlns:a16="http://schemas.microsoft.com/office/drawing/2014/main" id="{87D7F4B6-D39A-48F5-98F7-5A42967B15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48</xdr:col>
      <xdr:colOff>0</xdr:colOff>
      <xdr:row>148</xdr:row>
      <xdr:rowOff>19050</xdr:rowOff>
    </xdr:from>
    <xdr:to>
      <xdr:col>74</xdr:col>
      <xdr:colOff>152401</xdr:colOff>
      <xdr:row>168</xdr:row>
      <xdr:rowOff>6350</xdr:rowOff>
    </xdr:to>
    <xdr:graphicFrame macro="">
      <xdr:nvGraphicFramePr>
        <xdr:cNvPr id="5" name="Chart 4">
          <a:extLst>
            <a:ext uri="{FF2B5EF4-FFF2-40B4-BE49-F238E27FC236}">
              <a16:creationId xmlns:a16="http://schemas.microsoft.com/office/drawing/2014/main" id="{64A34833-7B23-434D-8321-9EC49497B4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142375</xdr:colOff>
      <xdr:row>1</xdr:row>
      <xdr:rowOff>4512</xdr:rowOff>
    </xdr:from>
    <xdr:to>
      <xdr:col>10</xdr:col>
      <xdr:colOff>60159</xdr:colOff>
      <xdr:row>3</xdr:row>
      <xdr:rowOff>1123</xdr:rowOff>
    </xdr:to>
    <xdr:pic>
      <xdr:nvPicPr>
        <xdr:cNvPr id="7" name="Picture 6">
          <a:extLst>
            <a:ext uri="{FF2B5EF4-FFF2-40B4-BE49-F238E27FC236}">
              <a16:creationId xmlns:a16="http://schemas.microsoft.com/office/drawing/2014/main" id="{B0F81849-A057-E742-335B-394A3B954E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42375" y="154907"/>
          <a:ext cx="1622258" cy="29740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F5DA57B-34BD-4C4B-B08B-A49373D3F3CB}" name="RawData" displayName="RawData" ref="A1:BO51" headerRowDxfId="191" dataDxfId="190" totalsRowDxfId="189">
  <autoFilter ref="A1:BO51" xr:uid="{EF5DA57B-34BD-4C4B-B08B-A49373D3F3CB}"/>
  <sortState xmlns:xlrd2="http://schemas.microsoft.com/office/spreadsheetml/2017/richdata2" ref="A2:BO51">
    <sortCondition ref="A1:A51"/>
  </sortState>
  <tableColumns count="67">
    <tableColumn id="1" xr3:uid="{8F4E26D0-0BBF-46BB-9BDC-D553D855AB9E}" name="State" dataDxfId="188"/>
    <tableColumn id="2" xr3:uid="{F87F017A-3C0A-49CD-92A0-08E19FE4BD9C}" name="FIPS" dataDxfId="187"/>
    <tableColumn id="35" xr3:uid="{593AD43B-26AB-43C9-8F11-EA526D479CE4}" name="Governor political affiliation" dataDxfId="186"/>
    <tableColumn id="36" xr3:uid="{4860988C-CF34-4909-BBD3-36C458A20D40}" name="State legislature partisan composition" dataDxfId="185"/>
    <tableColumn id="38" xr3:uid="{FA977B58-A2B6-422D-86D9-DE01335F6689}" name="Working Age Population (25 - 64) (thousands) 2023" dataDxfId="184"/>
    <tableColumn id="39" xr3:uid="{78B66E42-5D36-4B39-91DB-C9A057667776}" name="Number of associate-granting institutions (2 year publics)" dataDxfId="183"/>
    <tableColumn id="40" xr3:uid="{8FA208ED-57FE-4F74-BB5E-349DDC0BF91C}" name="Number 2-yr publics with &lt;35% grad rates" dataDxfId="182"/>
    <tableColumn id="42" xr3:uid="{F91B56E4-1B68-46A6-89F7-0DCE44BA3122}" name="Total FTE Enrollment at 2-yr Publics" dataDxfId="181"/>
    <tableColumn id="43" xr3:uid="{72E92F50-01BD-4DF8-BBC0-31813B87A100}" name="Number of bachelors-granting institutions (4 year publics)" dataDxfId="180"/>
    <tableColumn id="44" xr3:uid="{7BDAACF8-B0C5-4B6B-8348-1B13DC93A05A}" name="Number 4-yr publics with &lt;35% grad rates" dataDxfId="179"/>
    <tableColumn id="41" xr3:uid="{1D02DAC3-5FF9-4ECA-8478-5222DB119DCD}" name="Total FTE Enrollment at 4-yr Publics" dataDxfId="178"/>
    <tableColumn id="17" xr3:uid="{A4F9B829-B29C-4F3B-A916-42D2F5BB860B}" name="Need-based aid (2023)" dataDxfId="177"/>
    <tableColumn id="18" xr3:uid="{6166979C-CB07-4CFB-BDD1-AA356F40E71F}" name="Non-need based aid (2023)" dataDxfId="176"/>
    <tableColumn id="19" xr3:uid="{530636D1-8E7E-4362-A565-837DE914A0EB}" name="Non-grant aid (2023)" dataDxfId="175"/>
    <tableColumn id="20" xr3:uid="{EE3ED903-FF1A-496E-8F08-90CE1534D39E}" name="Total State Aid" dataDxfId="174"/>
    <tableColumn id="66" xr3:uid="{C630A9D1-172A-4151-8D58-50D2F8183A52}" name="Total State and Local Support Excluding Federal Stimulus 2023" dataDxfId="173"/>
    <tableColumn id="67" xr3:uid="{FDB278FB-DE74-4C40-84BD-695E346D88AB}" name="Gross FTE Enrollment 2023" dataDxfId="172"/>
    <tableColumn id="14" xr3:uid="{AA9398EA-5219-499D-B840-0CBB17D65725}" name="Public high school graduates, 2022-23" dataDxfId="171" dataCellStyle="Comma"/>
    <tableColumn id="68" xr3:uid="{D1245553-CEE7-45A2-A59F-B8DC533ADD78}" name="State Support per FTE 2023" dataDxfId="170" dataCellStyle="Comma">
      <calculatedColumnFormula>P2/Q2</calculatedColumnFormula>
    </tableColumn>
    <tableColumn id="74" xr3:uid="{A3BAC542-204E-4F88-8BE2-8920D140DB01}" name="Support Per $1,000 in Personal Income 2022" dataDxfId="169" dataCellStyle="Comma"/>
    <tableColumn id="48" xr3:uid="{4A9448E2-57AD-4C8D-9367-508983240E70}" name="10 Year Percentage Change in State Support per FTE" dataDxfId="168" dataCellStyle="Percent"/>
    <tableColumn id="49" xr3:uid="{460781A9-3050-47DC-9947-4CF61EBED1E9}" name="Support Per $1,000 in Personal Income Percent Change since 2012" dataDxfId="167" dataCellStyle="Percent"/>
    <tableColumn id="21" xr3:uid="{19E314B2-DF33-4EC7-B6AC-5C7C687FA370}" name=" CUNY_ASAP" dataDxfId="166" dataCellStyle="Comma"/>
    <tableColumn id="15" xr3:uid="{1099FB80-26A1-48AA-9C31-A6D3667D79CC}" name="Total State financial aid spending per high school graduate " dataDxfId="165">
      <calculatedColumnFormula>RawData[[#This Row],[Total State Aid]]/RawData[[#This Row],[Public high school graduates, 2022-23]]</calculatedColumnFormula>
    </tableColumn>
    <tableColumn id="8" xr3:uid="{B2E4DF85-26EF-4855-82C8-C378F37EDCC5}" name="Associate Degree Premium (Over HS)" dataDxfId="164"/>
    <tableColumn id="5" xr3:uid="{74F96A70-090F-49DD-AC51-8AC0161AA7E8}" name="High-Opp Job Openings per 1,000 working age residents" dataDxfId="163"/>
    <tableColumn id="6" xr3:uid="{1AA5CB9F-DA1A-4B3D-B88B-8C8260C6FEC0}" name="2024 Annual Unemployment Rate" dataDxfId="162"/>
    <tableColumn id="7" xr3:uid="{6CEFD52A-7469-46BB-80EC-955063843B0F}" name="2023 Attainment of Associate's Degree or Higher (25 - 64 year olds)" dataDxfId="161"/>
    <tableColumn id="4" xr3:uid="{B614D880-A220-4408-804D-F366B8A31920}" name="SCNC Under 65 Counts Per 1,000 Undergrad Enrollment" dataDxfId="160" dataCellStyle="Comma"/>
    <tableColumn id="45" xr3:uid="{83BB53B9-7C01-4ED1-B4F1-3408E666B12D}" name="Bachelor's Degree Premium (Over HS)" dataDxfId="159" dataCellStyle="Percent"/>
    <tableColumn id="46" xr3:uid="{14DD3208-AF6E-4693-B6BA-17DB0DC345C6}" name="2023 Attainment of Bachelor's Degree or higher" dataDxfId="158" dataCellStyle="Percent"/>
    <tableColumn id="47" xr3:uid="{9A508EEB-C94C-4102-BF2E-EF2067F0BDE4}" name="Avgerage Annual High-Opp Job Openings per 1,000 working age residents (Bachelors)" dataDxfId="157" dataCellStyle="Comma"/>
    <tableColumn id="3" xr3:uid="{FCDE4A0A-0A0B-4350-84C5-FFB954D8088F}" name="FTE undergrad enrollment at public 2-yrs, 2019" dataDxfId="156"/>
    <tableColumn id="24" xr3:uid="{9852DE91-77F0-4C5F-AB52-37CE6623224E}" name="FTE undergrad enrollment at public 2-yrs, 2023" dataDxfId="155"/>
    <tableColumn id="26" xr3:uid="{75E8ABB2-E6E9-462C-96A5-658093ABED3D}" name="FTE undergrad enrollment change at public 2-yrs (#), 2019 to 2023" dataDxfId="154"/>
    <tableColumn id="27" xr3:uid="{3BFC7D88-C334-4DA4-85E9-81BDF852E06A}" name="FTE undergrad enrollment change at public 2-yrs (%), 2019 to 2023" dataDxfId="153"/>
    <tableColumn id="53" xr3:uid="{755014D6-D4CC-41C9-9072-D3EFC3826467}" name="5 Year Percent Change in FTE Undergraduate Enrollment at public 4 years (2019-2023)" dataDxfId="152" dataCellStyle="Percent"/>
    <tableColumn id="28" xr3:uid="{20A2813E-2E92-42A2-B511-59C49BB3BE09}" name="Graduation rate cohort size, public 2-yrs" dataDxfId="151"/>
    <tableColumn id="29" xr3:uid="{C753855C-E6D8-417A-A384-1A58A9175758}" name="Retention rate cohort size (Full-time), public 2-yrs" dataDxfId="150"/>
    <tableColumn id="30" xr3:uid="{CF4E2CE9-AF0E-4401-BF3A-54A7BE6058C5}" name="Retention rate cohort size (Part-time), public 2-yrs" dataDxfId="149"/>
    <tableColumn id="32" xr3:uid="{1F683F81-D487-4812-93A8-999C47616F07}" name="3-year Graduation rate, public 2-yrs (3 yr rolling avg)" dataDxfId="148"/>
    <tableColumn id="31" xr3:uid="{FBB75CB1-63B2-4251-8450-81B2F5943D95}" name="Retention rate (Full-time), public 2-yrs (3 yr rolling avg)" dataDxfId="147"/>
    <tableColumn id="33" xr3:uid="{48AC2E86-F2F3-4FD2-A8B5-8E051BC2DE3C}" name="Retention rate (Part-time), public 2-yrs (3 yr rolling avg)" dataDxfId="146"/>
    <tableColumn id="50" xr3:uid="{B8C67B99-CFCE-4D01-9480-11E428E7CD2B}" name="3 Year Average Grad Rate, 150% of normal time, 4 year publics" dataDxfId="145" dataCellStyle="Percent"/>
    <tableColumn id="54" xr3:uid="{0852A7A0-02B8-404A-9529-4C39D3BC0D92}" name="3 Year Average full-time retention rate, 4 year publics" dataDxfId="144" dataCellStyle="Percent"/>
    <tableColumn id="51" xr3:uid="{EFBC1F79-7899-4F69-A864-AFD8A4061C4D}" name="3 Year Average part-time retention rate, 4 year publics" dataDxfId="143" dataCellStyle="Percent"/>
    <tableColumn id="56" xr3:uid="{74A8F0F4-32F0-4EF0-AF96-6823616D7CC9}" name="PBF" dataDxfId="142" dataCellStyle="Percent"/>
    <tableColumn id="57" xr3:uid="{D6A8B82D-116F-4BFA-91B7-74D17CA14688}" name="General Public Operations" dataDxfId="141" dataCellStyle="Percent"/>
    <tableColumn id="58" xr3:uid="{EFCB84FB-58EE-4115-BE31-474DEC584256}" name="PBF as a % of Total Public Operating" dataDxfId="140" dataCellStyle="Percent"/>
    <tableColumn id="9" xr3:uid="{0F05330B-8B37-4214-A489-84D33B958752}" name="Existing partner and/or SHEEO?" dataDxfId="139"/>
    <tableColumn id="10" xr3:uid="{7BB8EA9E-4CD8-48FD-B1A5-64B87132FD20}" name="Contact with CUNY ASAP Replication Team? (Through Spring 2025)" dataDxfId="138"/>
    <tableColumn id="11" xr3:uid="{537BC157-951D-4129-96AF-CDDE66B37B8F}" name="Inquiry/discussion type (state org/intermediary, institutional leadership, researcher, faculty, etc.)" dataDxfId="137"/>
    <tableColumn id="12" xr3:uid="{C5FE2D57-1D8A-4568-9E78-5E64633640C1}" name="Performance-based funding -- 2yr?" dataDxfId="136"/>
    <tableColumn id="55" xr3:uid="{31CAF101-2C4C-4B82-BEA2-AC7C1A1BB00D}" name="Performance-based funding -- 4yr?" dataDxfId="135"/>
    <tableColumn id="16" xr3:uid="{22AB6860-2E70-44FC-980E-B99A468F95B3}" name="Statewide tuition-free community college program in operation?" dataDxfId="134"/>
    <tableColumn id="34" xr3:uid="{509C25E7-B068-4327-925B-871541862BEF}" name="Does the state have an active or under contruction SLDS?" dataDxfId="133"/>
    <tableColumn id="13" xr3:uid="{EC6992CF-503E-41A6-B3CA-244E68780BE0}" name="Developmental Ed Reform?" dataDxfId="132"/>
    <tableColumn id="23" xr3:uid="{1C01122A-5C7C-44A5-B025-6C8C98985BDF}" name="Statewide guaranteed transfer of an associate degree?" dataDxfId="131"/>
    <tableColumn id="22" xr3:uid="{C9C8D4FD-6C4C-4B64-891A-B012EC24B08A}" name="Opportunity for continued engagement" dataDxfId="130">
      <calculatedColumnFormula>IF(OR(RawData[[#This Row],[Existing partner and/or SHEEO?]]="Existing Partner",RawData[[#This Row],[Existing partner and/or SHEEO?]]="SHEEO",RawData[[#This Row],[Existing partner and/or SHEEO?]]="Both"),2,0)+IF(ISBLANK(RawData[[#This Row],[Contact with CUNY ASAP Replication Team? (Through Spring 2025)]]),0,1)</calculatedColumnFormula>
    </tableColumn>
    <tableColumn id="37" xr3:uid="{EBE355FE-8F63-4D85-BCB9-1EC8256EDEDC}" name="MAAPS Presence in State?" dataDxfId="129"/>
    <tableColumn id="52" xr3:uid="{DFCE63F6-544F-4B9D-B386-E7D1ACB9E281}" name="Inside Track Presence in State?" dataDxfId="128"/>
    <tableColumn id="59" xr3:uid="{4B8824AC-A8D1-4069-A27E-AC2599E61438}" name="ASAP Presence in State?" dataDxfId="127"/>
    <tableColumn id="60" xr3:uid="{57294B90-49DA-4863-82AE-CDE105E4FFD0}" name="Stay the Course Presence in State?" dataDxfId="126"/>
    <tableColumn id="61" xr3:uid="{0A4918B0-E86A-4618-8AA5-302E2D448314}" name="Project Quest Presence in State?" dataDxfId="125"/>
    <tableColumn id="62" xr3:uid="{05D8E8DF-83C6-45D4-BE06-15072D25D088}" name="One Million Degrees Presence in State?" dataDxfId="124"/>
    <tableColumn id="63" xr3:uid="{3E95DBA9-745E-481D-BF0D-0109C80D3374}" name="Additional Student Success Interventions" dataDxfId="123"/>
    <tableColumn id="25" xr3:uid="{131A76E5-0FD6-43B3-A3AC-C16E9B3B6C12}" name="Opportunity to leverage existing policies and initiatives" dataDxfId="122">
      <calculatedColumnFormula>COUNTIF(BA2:BF2,"Yes")</calculatedColumnFormula>
    </tableColumn>
  </tableColumns>
  <tableStyleInfo name="Level 1 Analysis-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CE0C06-B375-4A2B-96E9-4B8B7A8AB650}" name="Level_1_Analysis4" displayName="Level_1_Analysis4" ref="A1:CQ51" headerRowDxfId="121" dataDxfId="120" totalsRowDxfId="119">
  <autoFilter ref="A1:CQ51" xr:uid="{00000000-0009-0000-0100-000001000000}"/>
  <sortState xmlns:xlrd2="http://schemas.microsoft.com/office/spreadsheetml/2017/richdata2" ref="A2:CQ51">
    <sortCondition ref="A1:A51"/>
  </sortState>
  <tableColumns count="95">
    <tableColumn id="1" xr3:uid="{E220B6AB-C880-4B4A-9D7D-4E1F36FEBDB7}" name="State" dataDxfId="118"/>
    <tableColumn id="2" xr3:uid="{83046251-7963-4856-A5C4-C731B6940E77}" name="FIPS" dataDxfId="117"/>
    <tableColumn id="3" xr3:uid="{8F86BC1B-B43C-4C43-BCE5-0E74024D5C7C}" name="Existing partner and/or SHEEO?" dataDxfId="116"/>
    <tableColumn id="4" xr3:uid="{71AF53FF-53B3-4474-A824-5EB50F922F4F}" name="Inquiry/discussion with CUNY ASAP Rep Team (date of last contact)" dataDxfId="115"/>
    <tableColumn id="5" xr3:uid="{DF2AA480-76A0-4140-96EB-6F37CBFBB5CB}" name="Inquiry/discussion type (state org/intermediary, institutional leadership, researcher, faculty, etc.)" dataDxfId="114"/>
    <tableColumn id="6" xr3:uid="{60B94E26-BF7E-4161-8515-D78856856698}" name="Notes from past discussions" dataDxfId="113"/>
    <tableColumn id="7" xr3:uid="{C9220E64-AC45-40FF-B9B6-B9414DD47239}" name="Peer Organizations" dataDxfId="112"/>
    <tableColumn id="9" xr3:uid="{FBDCE69C-E674-4F01-B7C0-55D3BEE6794B}" name="Governance model" dataDxfId="111"/>
    <tableColumn id="10" xr3:uid="{D80AC8F6-7958-4A18-9860-038547936F4C}" name="Performance-based funding -- 2yr?" dataDxfId="110"/>
    <tableColumn id="11" xr3:uid="{8F88A999-AE53-4EDB-BD81-5413AA6419FA}" name="Performance-based funding -- 4yr?" dataDxfId="109"/>
    <tableColumn id="12" xr3:uid="{9751FC6E-6303-46C2-A715-F1624122598C}" name="Governor political affiliation" dataDxfId="108"/>
    <tableColumn id="13" xr3:uid="{55867B0B-51B5-4AC8-ADED-3C743D5CBCF2}" name="State legislature partisan composition" dataDxfId="107"/>
    <tableColumn id="14" xr3:uid="{DD6B13D1-9812-4AFF-99C9-747EC65B0BB7}" name="Statewide tuition-free community college program in operation?" dataDxfId="106"/>
    <tableColumn id="15" xr3:uid="{D0EC9F77-20C4-48C4-8ED8-1B640974ACD3}" name="Statewide guaranteed transfer of an associate degree?" dataDxfId="105"/>
    <tableColumn id="16" xr3:uid="{25800A4E-3285-49A9-9666-60D591EB662A}" name="Need-based aid (2023)" dataDxfId="104"/>
    <tableColumn id="17" xr3:uid="{5545FB51-0984-4AFC-ACA7-D541599A4D67}" name="Non-need based aid (2023)" dataDxfId="103"/>
    <tableColumn id="18" xr3:uid="{5DEA7977-BCE5-4BC6-B568-43AADD03DDEB}" name="Non-grant aid (2023)" dataDxfId="102"/>
    <tableColumn id="19" xr3:uid="{A341EE04-1CA4-4A3C-BA94-B41484619983}" name="Total State Aid" dataDxfId="101"/>
    <tableColumn id="20" xr3:uid="{95864B6F-85BB-4685-92C3-39BC473AAF01}" name="Need Based Aid Ratio" dataDxfId="100"/>
    <tableColumn id="22" xr3:uid="{C13FCF8F-CA7A-4861-8A96-192D0595F6F1}" name="Public high school graduates, 2022-23" dataDxfId="99"/>
    <tableColumn id="23" xr3:uid="{756BA9DC-34B6-409F-866F-A6A89555C7E2}" name="Number of associate-granting institutions (2 year publics)" dataDxfId="98"/>
    <tableColumn id="24" xr3:uid="{F696CFAF-D513-4B5A-9DDC-A4AD5CC72C5E}" name="Number 2-yr publics with &lt;35% grad rates" dataDxfId="97"/>
    <tableColumn id="25" xr3:uid="{1EDE26EF-971B-4845-988B-F3F930F81339}" name="Total FTE Enrollment at 2-yr Publics" dataDxfId="96"/>
    <tableColumn id="26" xr3:uid="{513FB9B6-9E7E-455C-9560-525414AAA237}" name="FTE  Enrollment at 2-yr publics with &lt;35% grad rates" dataDxfId="95"/>
    <tableColumn id="27" xr3:uid="{573D4625-DEA2-4565-AEDF-AB4FF14F0A09}" name="Percent of Enrollment at 2-yr publics with &lt;35% grad rates" dataDxfId="94"/>
    <tableColumn id="29" xr3:uid="{C714B863-CD50-434F-BDDA-69DCFBE5D0B7}" name="Number of bachelors-granting institutions (4 year publics)" dataDxfId="93"/>
    <tableColumn id="30" xr3:uid="{E8D27FFA-A805-4D24-9989-89EF1DD9B8C2}" name="Number 4-yr publics with &lt;35% grad rates" dataDxfId="92"/>
    <tableColumn id="31" xr3:uid="{D66AAD12-AD73-44EF-A152-0E3CB0207EA4}" name="Total FTE Enrollment at 4-yr Publics" dataDxfId="91"/>
    <tableColumn id="32" xr3:uid="{13BF8EFD-A813-466C-B5C8-6F18E2D256E0}" name="FTE  Enrollment at 4-yr publics with &lt;35% grad rates" dataDxfId="90"/>
    <tableColumn id="33" xr3:uid="{31F4C79A-3330-4BAD-A623-25C84D9891B7}" name="Percent of Enrollment at 4-yr publics with &lt;35% grad rates" dataDxfId="89"/>
    <tableColumn id="35" xr3:uid="{45BB4780-B0CC-450A-B24B-6B94E08E8A1D}" name="5 year percent change in full-time enrollment at public 4 years " dataDxfId="88"/>
    <tableColumn id="36" xr3:uid="{33F38748-7DD4-445C-B611-544227C48D37}" name="10 year percent change in full-time enrollment at public 4 years " dataDxfId="87"/>
    <tableColumn id="37" xr3:uid="{E38E65D4-89DF-41F7-BEEC-8E827071DA67}" name="5 year percent change in part-time enrollment at public 4 years " dataDxfId="86"/>
    <tableColumn id="38" xr3:uid="{C4CE3728-007C-4236-A308-C38465F400C0}" name="10 year percent change in part-time enrollment at public 4 years " dataDxfId="85"/>
    <tableColumn id="39" xr3:uid="{8990C2D9-8765-426B-A660-246B47E1C771}" name="5 year percentage point change in 6 year grad rates at public 4 years " dataDxfId="84"/>
    <tableColumn id="40" xr3:uid="{13CB4B08-D70D-4AAC-9BE4-7A052E59D110}" name="10 year percentage point change in 6 year grad rates at public 4 years " dataDxfId="83"/>
    <tableColumn id="41" xr3:uid="{2CA11B80-C948-4EA3-8B78-0E5A699083F9}" name="5 year percentage point change in transfer rates at public 4 years " dataDxfId="82"/>
    <tableColumn id="42" xr3:uid="{0D9BAC3F-999A-43F7-8051-22F8B32302C0}" name="10 year percentage point change in transfer rates at public 4 years " dataDxfId="81"/>
    <tableColumn id="43" xr3:uid="{EE21FC65-D9B9-4F9C-87A5-0125C88EF6AD}" name="5 year percent change in full-time enrollment at public 2 years " dataDxfId="80"/>
    <tableColumn id="44" xr3:uid="{2A22E722-6FA0-4123-AEFE-D92985242165}" name="5 year percent change in part-time enrollment at public 2 years " dataDxfId="79"/>
    <tableColumn id="45" xr3:uid="{4C19F855-532A-4A08-9A53-25B4E269EA82}" name="10 year percent change in full-time enrollment at public 2 years " dataDxfId="78"/>
    <tableColumn id="46" xr3:uid="{E6993A24-F0EE-4BD2-A744-377D80D75868}" name="10 year percent change in part-time enrollment at public 2 years " dataDxfId="77"/>
    <tableColumn id="47" xr3:uid="{1854E0C2-28A8-42F6-BF26-25730CDF938C}" name="5 year percentage point change in transfer rates at public 2 years " dataDxfId="76"/>
    <tableColumn id="48" xr3:uid="{A1EEE16C-6C1A-4DC9-949E-D1EF0706CE0C}" name="10 year percentage point change in transfer rates at public 2 years " dataDxfId="75"/>
    <tableColumn id="49" xr3:uid="{2CD6A43A-A917-4BE6-B5FD-B8152CCF032D}" name="5 year percentage point change in 3 year grad rates at public 2 years " dataDxfId="74"/>
    <tableColumn id="50" xr3:uid="{8EBBC440-BAD4-433D-8E2D-CE4B6D30E757}" name="10 year percentage point change in 3 year grad rates at public 2 years " dataDxfId="73"/>
    <tableColumn id="51" xr3:uid="{E79F4042-C31E-4D7D-ADB0-E7B0315A8ABB}" name="5 Year Change in FTE Undergraduate Enrollment at public 2 years (2019-2023)" dataDxfId="72"/>
    <tableColumn id="52" xr3:uid="{7D6A66A6-BE0C-4810-A85A-BB2BF40DA752}" name="5 Year Percent Change in FTE Undergraduate Enrollment at public 2 years (2019-2023)" dataDxfId="71"/>
    <tableColumn id="53" xr3:uid="{A285297C-B55E-4FED-8CBA-22ABAA0AB26F}" name="5 Year Change in FTE Undergraduate Enrollment at public 4 years (2019-2023)" dataDxfId="70"/>
    <tableColumn id="54" xr3:uid="{B4872E10-7D00-46D5-A25E-97F9FB790D46}" name="5 Year Percent Change in FTE Undergraduate Enrollment at public 4 years (2019-2023)" dataDxfId="69"/>
    <tableColumn id="55" xr3:uid="{79CC3648-3E3A-46C8-949E-0797F9B9FDA0}" name="3 Year Average Grad Cohort, Public 2 Years" dataDxfId="68"/>
    <tableColumn id="56" xr3:uid="{C34FA5C9-65D0-4BC0-9542-2CFB8FAC60B3}" name="3 Year Average Grad Rate, 150% of normal time, 2 year publics" dataDxfId="67"/>
    <tableColumn id="57" xr3:uid="{F300898A-C725-4577-8BA1-EC7C2E798061}" name="3 Year Average Grad Cohort, Public 4 Years" dataDxfId="66"/>
    <tableColumn id="58" xr3:uid="{2262990C-2570-452E-8DFD-222C3794E605}" name="3 Year Average Grad Rate, 150% of normal time, 4 year publics" dataDxfId="65"/>
    <tableColumn id="59" xr3:uid="{93092017-99CF-46D1-BD9D-46D2BFFF501F}" name="3 Year Average FT Cohort, public 2-years" dataDxfId="64"/>
    <tableColumn id="60" xr3:uid="{72A95D21-71BA-43B1-B18D-A33A2E19327F}" name="3 Year Average full-time retention rate, 2 year publics" dataDxfId="63"/>
    <tableColumn id="61" xr3:uid="{D3420C9C-094F-473A-8864-A1C4C6B2DE57}" name="3 Year Average FT Cohort, public 4-years" dataDxfId="62"/>
    <tableColumn id="62" xr3:uid="{9ADFAC5F-949A-4FDE-A49C-71B069254056}" name="3 Year Average full-time retention rate, 4 year publics" dataDxfId="61"/>
    <tableColumn id="63" xr3:uid="{3631DD33-1E59-4052-8BD7-C4F7C993CE44}" name="3 Year Average PT Cohort, public 2-years" dataDxfId="60"/>
    <tableColumn id="64" xr3:uid="{E52B31AA-8D3F-48C8-B27D-439215D6AF2A}" name="3 Year Average part-time retention rate, 2 year publics " dataDxfId="59"/>
    <tableColumn id="65" xr3:uid="{67A32CB4-B4F7-4CE9-8317-C2CA389CA846}" name="3 Year Average PT Cohort, public 4-years" dataDxfId="58"/>
    <tableColumn id="66" xr3:uid="{B010D9C2-7F9D-48AC-BC0A-95B12510171F}" name="3 Year Average part-time retention rate, 4 year publics " dataDxfId="57"/>
    <tableColumn id="67" xr3:uid="{AE65C090-3826-4A63-BCA5-0B429322B7C2}" name="2023 Annual Unemployment Rate" dataDxfId="56"/>
    <tableColumn id="68" xr3:uid="{00E83917-5621-4DD8-840F-F9DF5D496E33}" name="2024 Annual Unemployment Rate" dataDxfId="55"/>
    <tableColumn id="69" xr3:uid="{D3976F3A-EFFE-4F69-91A0-97CFFF7DEDC6}" name="Percentage Change in Unemployment Rate (2024 - 2023)" dataDxfId="54">
      <calculatedColumnFormula>(BL2-BK2)/BK2</calculatedColumnFormula>
    </tableColumn>
    <tableColumn id="70" xr3:uid="{20091341-8A06-417E-A071-D19C9DFA6E5A}" name="December 2024 Job Openings Rate" dataDxfId="53"/>
    <tableColumn id="71" xr3:uid="{5AFE4AA5-9830-4E08-ABD3-5580AB5A8C9B}" name="December 2023 Job Opening Rate" dataDxfId="52"/>
    <tableColumn id="72" xr3:uid="{3F03B148-3141-4AE6-82DF-63AB609EDF8E}" name="Percent Change in Job Openings Rate (Dec 2024 - Dec 2023)" dataDxfId="51">
      <calculatedColumnFormula>(BN2-BO2)/BO2</calculatedColumnFormula>
    </tableColumn>
    <tableColumn id="73" xr3:uid="{A133C0D4-0F61-4792-8F3D-F4E622EFAEDF}" name="Working Age Population (25 - 64) (thousands) 2023" dataDxfId="50"/>
    <tableColumn id="74" xr3:uid="{51525723-B28D-4EDD-AEF1-C9A4578931B7}" name="Number of High-Opportunity Occupations Typically Requiring an Associate's Degree" dataDxfId="49"/>
    <tableColumn id="75" xr3:uid="{02B77830-4FF3-448A-B869-DA13609AB6E7}" name="Number of High-Opportunity Occupations Typically Requiring an Bachelor's Degree" dataDxfId="48"/>
    <tableColumn id="76" xr3:uid="{B8AC783C-E16E-4589-AFA2-E362C2ACEF2C}" name="Total &quot;Average Annual Job Openings&quot; for High-Opportunity Occupations that typically require an Associate's Degree" dataDxfId="47"/>
    <tableColumn id="77" xr3:uid="{B355770E-07BD-4D29-93B8-FD567FBDADD1}" name="Total &quot;Average Annual Job Openings&quot; for High-Opportunity Occupations that typically require an Bachelor's Degree" dataDxfId="46"/>
    <tableColumn id="78" xr3:uid="{1A417787-EF8E-4095-8D9F-88228924A0FC}" name="Avgerage Annual High-Opp Job Openings per 1,000 working age residents (Associates)" dataDxfId="45"/>
    <tableColumn id="79" xr3:uid="{BB574BB9-2562-4874-988C-ABB379C6B7CC}" name="Avgerage Annual High-Opp Job Openings per 1,000 working age residents (Bachelors)" dataDxfId="44"/>
    <tableColumn id="80" xr3:uid="{06E76780-3B4D-4DCF-AFF3-124B8B1DAFC3}" name="2023 Attainment of Associate's Degree or Higher (25 - 64 year olds)" dataDxfId="43"/>
    <tableColumn id="81" xr3:uid="{DF7BF59E-1D6E-4DAF-8B6A-E10A0D5D432A}" name="2014 Attainment of Associate's Degree or Higher (25 - 64 year olds)" dataDxfId="42"/>
    <tableColumn id="82" xr3:uid="{6634491D-CA5A-4341-B5F3-A7538483B35A}" name="10 year trend (2023 - 2014) in Attainment of Associate's Degree or Higher (25 - 64 year olds)" dataDxfId="41">
      <calculatedColumnFormula>(BX2-BY2)/BY2</calculatedColumnFormula>
    </tableColumn>
    <tableColumn id="83" xr3:uid="{256EC70F-E44A-4D92-B2BC-C87B24064D14}" name="State Share of SCNC Under 65 (NSC)" dataDxfId="40"/>
    <tableColumn id="84" xr3:uid="{D127081F-0B7D-4DB5-A5C6-109B42063E49}" name="Median Income High School Diploma " dataDxfId="39"/>
    <tableColumn id="85" xr3:uid="{20B39CC8-7BEA-4F4E-9397-1B5C9B6842A9}" name="Median Income Associate Degree Earners" dataDxfId="38"/>
    <tableColumn id="86" xr3:uid="{45A14503-1B27-415F-910C-036AAA9EF384}" name="Median Income Bachelor's Earners" dataDxfId="37"/>
    <tableColumn id="87" xr3:uid="{E529F6EB-9831-43C1-BCC2-A242F59A8AE7}" name="Associate Degree Premium (Over HS)" dataDxfId="36">
      <calculatedColumnFormula>(CC2-CB2)/CB2</calculatedColumnFormula>
    </tableColumn>
    <tableColumn id="88" xr3:uid="{1B857D17-9FC9-40BA-88D6-913A69DB601C}" name="Bachelor's Degree Premium (Over HS)" dataDxfId="35">
      <calculatedColumnFormula>(CD2-CB2)/CB2</calculatedColumnFormula>
    </tableColumn>
    <tableColumn id="89" xr3:uid="{9E3D5F73-1BB1-4CDD-A837-810E38F6A56B}" name="Total State and Local Support Excluding Federal Stimulus 2023" dataDxfId="34"/>
    <tableColumn id="90" xr3:uid="{DA68904C-29A3-41D4-A52C-16A540E5B24B}" name="Gross FTE Enrollment (SHEF) 2023" dataDxfId="33"/>
    <tableColumn id="91" xr3:uid="{5081859F-FC3B-44A7-A09F-1784360318CD}" name="State Support per FTE 2023" dataDxfId="32">
      <calculatedColumnFormula>CG2/CH2</calculatedColumnFormula>
    </tableColumn>
    <tableColumn id="92" xr3:uid="{EE58CB5F-C95B-4AA0-835B-EC754555ECF2}" name="Total State and Local Support Excluding Federal Stimulus 2014" dataDxfId="31"/>
    <tableColumn id="93" xr3:uid="{0AB0B2FF-5A6F-4082-A259-EDDC7470D7DF}" name="Gross FTE Enrollment (SHEF) 2014" dataDxfId="30"/>
    <tableColumn id="94" xr3:uid="{D0EE7A98-83C0-44E0-AC4A-330E6FCD8ED1}" name="State Support per FTE 2014" dataDxfId="29">
      <calculatedColumnFormula>CJ2/CK2</calculatedColumnFormula>
    </tableColumn>
    <tableColumn id="95" xr3:uid="{1F8F5900-DA13-478E-BFAA-2D5AFA98E87C}" name="10 Year Percent Change in Total State and Local Support" dataDxfId="28">
      <calculatedColumnFormula>(CG2-CJ2) / CJ2</calculatedColumnFormula>
    </tableColumn>
    <tableColumn id="96" xr3:uid="{B2F3B858-15DD-4792-B027-0D12F8ECEECE}" name="10 Year Percentage Change in State Support per FTE" dataDxfId="27">
      <calculatedColumnFormula>(CI2-CL2) / CL2</calculatedColumnFormula>
    </tableColumn>
    <tableColumn id="97" xr3:uid="{6C90AB14-7746-4A46-8F0A-7C0C601B706D}" name="Support Per $1,000 in Personal Income 2022" dataDxfId="26"/>
    <tableColumn id="98" xr3:uid="{6F25D466-58C9-4567-899C-7590A381B2C7}" name="Support Per $1,000 in Personal Income Percent Change since 2017" dataDxfId="25"/>
    <tableColumn id="99" xr3:uid="{7E35C170-0266-4866-9DC2-E0DA4BC18BAF}" name="Support Per $1,000 in Personal Income Percent Change since 2012" dataDxfId="24"/>
  </tableColumns>
  <tableStyleInfo name="Level 1 Analysis-style" showFirstColumn="1" showLastColumn="1"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D0754D1-071A-41A2-BC9D-DB5F1D924809}" name="Level_1_Analysis34" displayName="Level_1_Analysis34" ref="A1:B51" headerRowDxfId="23" dataDxfId="22" totalsRowDxfId="21">
  <autoFilter ref="A1:B51" xr:uid="{9D0754D1-071A-41A2-BC9D-DB5F1D924809}"/>
  <tableColumns count="2">
    <tableColumn id="1" xr3:uid="{D8883A18-AFC7-4105-AEE1-87E811EE7BC2}" name="State" dataDxfId="20"/>
    <tableColumn id="2" xr3:uid="{403E3ADF-B52D-4D82-BE5D-CAB46D5671F1}" name="FIPS" dataDxfId="19"/>
  </tableColumns>
  <tableStyleInfo name="Level 1 Analysis-style" showFirstColumn="1" showLastColumn="1"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8989103-44F6-40FC-A056-C1A3436E16D0}" name="Level_1_Analysis3" displayName="Level_1_Analysis3" ref="A1:B51" headerRowDxfId="18" dataDxfId="17" totalsRowDxfId="16">
  <autoFilter ref="A1:B51" xr:uid="{28989103-44F6-40FC-A056-C1A3436E16D0}"/>
  <tableColumns count="2">
    <tableColumn id="1" xr3:uid="{1480B4F1-AF13-4061-BA12-F67A99221E44}" name="State" dataDxfId="15"/>
    <tableColumn id="2" xr3:uid="{C22679A2-B77F-4E50-93E2-683CBB47D813}" name="FIPS" dataDxfId="14"/>
  </tableColumns>
  <tableStyleInfo name="Level 1 Analysis-style" showFirstColumn="1" showLastColumn="1"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CB5F06B-C87E-486F-B580-088E1B7EBBD1}" name="Level_1_Analysis346" displayName="Level_1_Analysis346" ref="A1:D51" headerRowDxfId="13" dataDxfId="12" totalsRowDxfId="11">
  <autoFilter ref="A1:D51" xr:uid="{0CB5F06B-C87E-486F-B580-088E1B7EBBD1}"/>
  <tableColumns count="4">
    <tableColumn id="1" xr3:uid="{0ACE1803-8259-4F92-AF16-56BE90AD4FE6}" name="State" dataDxfId="10"/>
    <tableColumn id="2" xr3:uid="{75BDE1EC-6B93-48A0-8CCB-89C72D0C7952}" name="FIPS" dataDxfId="9"/>
    <tableColumn id="3" xr3:uid="{AAE28331-411E-4507-8EBD-BA182EF6693B}" name="Rank FTE undergrad enrollment at public 2-yrs, 2019" dataDxfId="8" totalsRowDxfId="7">
      <calculatedColumnFormula>IF(COUNTBLANK(RawData[[#This Row],[FTE undergrad enrollment at public 2-yrs, 2019]])=0,_xlfn.RANK.AVG(RawData[[#This Row],[FTE undergrad enrollment at public 2-yrs, 2019]],RawData[FTE undergrad enrollment at public 2-yrs, 2019],0),"")</calculatedColumnFormula>
    </tableColumn>
    <tableColumn id="4" xr3:uid="{E13AA2D6-E385-4245-A1B9-0A0B30CFD40B}" name="Rank FTE undergrad enrollment at public 2-yrs, 2023" dataDxfId="6" totalsRowDxfId="5">
      <calculatedColumnFormula>IF(COUNTBLANK(RawData[[#This Row],[FTE undergrad enrollment at public 2-yrs, 2023]])=0,_xlfn.RANK.AVG(RawData[[#This Row],[FTE undergrad enrollment at public 2-yrs, 2023]],RawData[FTE undergrad enrollment at public 2-yrs, 2023],0),"")</calculatedColumnFormula>
    </tableColumn>
  </tableColumns>
  <tableStyleInfo name="Level 1 Analysis-style" showFirstColumn="1" showLastColumn="1"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8376CF6-0390-483F-AE36-963F331D4ADA}" name="Level_1_Analysis35" displayName="Level_1_Analysis35" ref="A1:B51" headerRowDxfId="4" dataDxfId="3" totalsRowDxfId="2">
  <autoFilter ref="A1:B51" xr:uid="{38376CF6-0390-483F-AE36-963F331D4ADA}"/>
  <tableColumns count="2">
    <tableColumn id="1" xr3:uid="{F937A84B-CB8C-47E2-93EF-A2F2764CB9DE}" name="State" dataDxfId="1"/>
    <tableColumn id="2" xr3:uid="{D439447E-5F09-4F7C-9030-1D8F083B13BE}" name="FIPS" dataDxfId="0"/>
  </tableColumns>
  <tableStyleInfo name="Level 1 Analysis-style" showFirstColumn="1" showLastColumn="1"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0.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2.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D5A75-625A-4BEC-A8CF-1264CE445CBD}">
  <dimension ref="A1:A70"/>
  <sheetViews>
    <sheetView zoomScaleNormal="100" workbookViewId="0">
      <selection activeCell="B15" sqref="B15"/>
    </sheetView>
  </sheetViews>
  <sheetFormatPr defaultRowHeight="14.5" x14ac:dyDescent="0.35"/>
  <cols>
    <col min="1" max="1" width="105.1796875" style="28" customWidth="1"/>
  </cols>
  <sheetData>
    <row r="1" spans="1:1" ht="23.5" x14ac:dyDescent="0.35">
      <c r="A1" s="199" t="s">
        <v>737</v>
      </c>
    </row>
    <row r="3" spans="1:1" ht="43.5" x14ac:dyDescent="0.35">
      <c r="A3" s="28" t="s">
        <v>738</v>
      </c>
    </row>
    <row r="4" spans="1:1" x14ac:dyDescent="0.35">
      <c r="A4" s="162"/>
    </row>
    <row r="5" spans="1:1" x14ac:dyDescent="0.35">
      <c r="A5" s="162" t="s">
        <v>739</v>
      </c>
    </row>
    <row r="6" spans="1:1" x14ac:dyDescent="0.35">
      <c r="A6" s="162"/>
    </row>
    <row r="7" spans="1:1" ht="29" x14ac:dyDescent="0.35">
      <c r="A7" s="162" t="s">
        <v>740</v>
      </c>
    </row>
    <row r="8" spans="1:1" x14ac:dyDescent="0.35">
      <c r="A8" s="162"/>
    </row>
    <row r="9" spans="1:1" x14ac:dyDescent="0.35">
      <c r="A9" s="162" t="s">
        <v>741</v>
      </c>
    </row>
    <row r="11" spans="1:1" ht="23.5" x14ac:dyDescent="0.35">
      <c r="A11" s="199" t="s">
        <v>742</v>
      </c>
    </row>
    <row r="12" spans="1:1" x14ac:dyDescent="0.35">
      <c r="A12" s="162"/>
    </row>
    <row r="13" spans="1:1" ht="29" x14ac:dyDescent="0.35">
      <c r="A13" s="200" t="s">
        <v>744</v>
      </c>
    </row>
    <row r="14" spans="1:1" x14ac:dyDescent="0.35">
      <c r="A14" s="162"/>
    </row>
    <row r="15" spans="1:1" ht="29" x14ac:dyDescent="0.35">
      <c r="A15" s="200" t="s">
        <v>745</v>
      </c>
    </row>
    <row r="16" spans="1:1" x14ac:dyDescent="0.35">
      <c r="A16" s="162"/>
    </row>
    <row r="17" spans="1:1" ht="29" x14ac:dyDescent="0.35">
      <c r="A17" s="162" t="s">
        <v>789</v>
      </c>
    </row>
    <row r="19" spans="1:1" ht="23.5" x14ac:dyDescent="0.35">
      <c r="A19" s="199" t="s">
        <v>774</v>
      </c>
    </row>
    <row r="20" spans="1:1" x14ac:dyDescent="0.35">
      <c r="A20" s="162"/>
    </row>
    <row r="21" spans="1:1" x14ac:dyDescent="0.35">
      <c r="A21" s="200" t="s">
        <v>696</v>
      </c>
    </row>
    <row r="22" spans="1:1" ht="29" x14ac:dyDescent="0.35">
      <c r="A22" s="162" t="s">
        <v>775</v>
      </c>
    </row>
    <row r="23" spans="1:1" x14ac:dyDescent="0.35">
      <c r="A23" s="162"/>
    </row>
    <row r="24" spans="1:1" x14ac:dyDescent="0.35">
      <c r="A24" s="200" t="s">
        <v>697</v>
      </c>
    </row>
    <row r="25" spans="1:1" ht="29" x14ac:dyDescent="0.35">
      <c r="A25" s="162" t="s">
        <v>776</v>
      </c>
    </row>
    <row r="26" spans="1:1" x14ac:dyDescent="0.35">
      <c r="A26" s="162"/>
    </row>
    <row r="27" spans="1:1" x14ac:dyDescent="0.35">
      <c r="A27" s="200" t="s">
        <v>700</v>
      </c>
    </row>
    <row r="28" spans="1:1" ht="29" x14ac:dyDescent="0.35">
      <c r="A28" s="162" t="s">
        <v>790</v>
      </c>
    </row>
    <row r="29" spans="1:1" x14ac:dyDescent="0.35">
      <c r="A29" s="162"/>
    </row>
    <row r="30" spans="1:1" x14ac:dyDescent="0.35">
      <c r="A30" s="200" t="s">
        <v>704</v>
      </c>
    </row>
    <row r="31" spans="1:1" x14ac:dyDescent="0.35">
      <c r="A31" s="200" t="s">
        <v>707</v>
      </c>
    </row>
    <row r="32" spans="1:1" ht="29" x14ac:dyDescent="0.35">
      <c r="A32" s="162" t="s">
        <v>777</v>
      </c>
    </row>
    <row r="33" spans="1:1" x14ac:dyDescent="0.35">
      <c r="A33" s="162"/>
    </row>
    <row r="34" spans="1:1" x14ac:dyDescent="0.35">
      <c r="A34" s="200" t="s">
        <v>778</v>
      </c>
    </row>
    <row r="35" spans="1:1" ht="43.5" x14ac:dyDescent="0.35">
      <c r="A35" s="162" t="s">
        <v>779</v>
      </c>
    </row>
    <row r="36" spans="1:1" x14ac:dyDescent="0.35">
      <c r="A36" s="162"/>
    </row>
    <row r="37" spans="1:1" x14ac:dyDescent="0.35">
      <c r="A37" s="200" t="s">
        <v>706</v>
      </c>
    </row>
    <row r="38" spans="1:1" ht="29" x14ac:dyDescent="0.35">
      <c r="A38" s="162" t="s">
        <v>780</v>
      </c>
    </row>
    <row r="39" spans="1:1" x14ac:dyDescent="0.35">
      <c r="A39" s="162"/>
    </row>
    <row r="40" spans="1:1" x14ac:dyDescent="0.35">
      <c r="A40" s="200" t="s">
        <v>781</v>
      </c>
    </row>
    <row r="41" spans="1:1" ht="29" x14ac:dyDescent="0.35">
      <c r="A41" s="162" t="s">
        <v>782</v>
      </c>
    </row>
    <row r="42" spans="1:1" x14ac:dyDescent="0.35">
      <c r="A42" s="162"/>
    </row>
    <row r="43" spans="1:1" x14ac:dyDescent="0.35">
      <c r="A43" s="200" t="s">
        <v>783</v>
      </c>
    </row>
    <row r="44" spans="1:1" ht="29" x14ac:dyDescent="0.35">
      <c r="A44" s="162" t="s">
        <v>784</v>
      </c>
    </row>
    <row r="45" spans="1:1" x14ac:dyDescent="0.35">
      <c r="A45" s="162"/>
    </row>
    <row r="46" spans="1:1" x14ac:dyDescent="0.35">
      <c r="A46" s="200" t="s">
        <v>785</v>
      </c>
    </row>
    <row r="47" spans="1:1" ht="43.5" x14ac:dyDescent="0.35">
      <c r="A47" s="162" t="s">
        <v>786</v>
      </c>
    </row>
    <row r="48" spans="1:1" x14ac:dyDescent="0.35">
      <c r="A48" s="162"/>
    </row>
    <row r="49" spans="1:1" x14ac:dyDescent="0.35">
      <c r="A49" s="200" t="s">
        <v>787</v>
      </c>
    </row>
    <row r="50" spans="1:1" ht="29" x14ac:dyDescent="0.35">
      <c r="A50" s="162" t="s">
        <v>788</v>
      </c>
    </row>
    <row r="51" spans="1:1" x14ac:dyDescent="0.35">
      <c r="A51" s="162"/>
    </row>
    <row r="52" spans="1:1" x14ac:dyDescent="0.35">
      <c r="A52" s="200" t="s">
        <v>823</v>
      </c>
    </row>
    <row r="53" spans="1:1" x14ac:dyDescent="0.35">
      <c r="A53" s="162" t="s">
        <v>824</v>
      </c>
    </row>
    <row r="54" spans="1:1" x14ac:dyDescent="0.35">
      <c r="A54" s="162"/>
    </row>
    <row r="55" spans="1:1" x14ac:dyDescent="0.35">
      <c r="A55" s="162"/>
    </row>
    <row r="56" spans="1:1" ht="23.5" x14ac:dyDescent="0.35">
      <c r="A56" s="199" t="s">
        <v>743</v>
      </c>
    </row>
    <row r="57" spans="1:1" x14ac:dyDescent="0.35">
      <c r="A57" s="162"/>
    </row>
    <row r="58" spans="1:1" x14ac:dyDescent="0.35">
      <c r="A58" s="200" t="s">
        <v>768</v>
      </c>
    </row>
    <row r="59" spans="1:1" x14ac:dyDescent="0.35">
      <c r="A59" s="162"/>
    </row>
    <row r="60" spans="1:1" x14ac:dyDescent="0.35">
      <c r="A60" s="200" t="s">
        <v>769</v>
      </c>
    </row>
    <row r="61" spans="1:1" x14ac:dyDescent="0.35">
      <c r="A61" s="162"/>
    </row>
    <row r="62" spans="1:1" ht="29" x14ac:dyDescent="0.35">
      <c r="A62" s="200" t="s">
        <v>773</v>
      </c>
    </row>
    <row r="63" spans="1:1" x14ac:dyDescent="0.35">
      <c r="A63" s="162"/>
    </row>
    <row r="64" spans="1:1" x14ac:dyDescent="0.35">
      <c r="A64" s="200" t="s">
        <v>770</v>
      </c>
    </row>
    <row r="65" spans="1:1" x14ac:dyDescent="0.35">
      <c r="A65" s="162"/>
    </row>
    <row r="66" spans="1:1" x14ac:dyDescent="0.35">
      <c r="A66" s="200" t="s">
        <v>771</v>
      </c>
    </row>
    <row r="67" spans="1:1" x14ac:dyDescent="0.35">
      <c r="A67" s="162"/>
    </row>
    <row r="68" spans="1:1" x14ac:dyDescent="0.35">
      <c r="A68" s="200" t="s">
        <v>772</v>
      </c>
    </row>
    <row r="70" spans="1:1" x14ac:dyDescent="0.35">
      <c r="A70" s="210" t="s">
        <v>822</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87B66-9F80-4CA4-8653-F10FD8B45163}">
  <dimension ref="A1:AA54"/>
  <sheetViews>
    <sheetView workbookViewId="0">
      <selection activeCell="AA2" sqref="AA2:AA51"/>
    </sheetView>
  </sheetViews>
  <sheetFormatPr defaultRowHeight="14.5" x14ac:dyDescent="0.35"/>
  <cols>
    <col min="3" max="9" width="0" hidden="1" customWidth="1"/>
    <col min="14" max="14" width="8.90625" style="34"/>
    <col min="15" max="15" width="16.81640625" customWidth="1"/>
    <col min="16" max="16" width="17.6328125" customWidth="1"/>
    <col min="17" max="17" width="8.90625" style="34"/>
    <col min="20" max="20" width="8.90625" style="34"/>
    <col min="24" max="24" width="8.90625" style="34"/>
  </cols>
  <sheetData>
    <row r="1" spans="1:27" s="28" customFormat="1" ht="159.5" x14ac:dyDescent="0.35">
      <c r="A1" s="25" t="s">
        <v>20</v>
      </c>
      <c r="B1" s="25" t="s">
        <v>22</v>
      </c>
      <c r="C1" s="26" t="s">
        <v>191</v>
      </c>
      <c r="D1" s="26" t="s">
        <v>192</v>
      </c>
      <c r="E1" s="26" t="s">
        <v>193</v>
      </c>
      <c r="F1" s="26" t="s">
        <v>194</v>
      </c>
      <c r="G1" s="20" t="s">
        <v>195</v>
      </c>
      <c r="H1" s="20" t="s">
        <v>196</v>
      </c>
      <c r="I1" s="20" t="s">
        <v>652</v>
      </c>
      <c r="J1" s="20" t="s">
        <v>205</v>
      </c>
      <c r="K1" s="20" t="s">
        <v>206</v>
      </c>
      <c r="L1" s="35" t="s">
        <v>197</v>
      </c>
      <c r="M1" s="20" t="s">
        <v>198</v>
      </c>
      <c r="N1" s="27" t="s">
        <v>183</v>
      </c>
      <c r="O1" s="20" t="s">
        <v>199</v>
      </c>
      <c r="P1" s="20" t="s">
        <v>200</v>
      </c>
      <c r="Q1" s="27" t="s">
        <v>183</v>
      </c>
      <c r="R1" s="20" t="s">
        <v>201</v>
      </c>
      <c r="S1" s="20" t="s">
        <v>190</v>
      </c>
      <c r="T1" s="27" t="s">
        <v>183</v>
      </c>
      <c r="U1" s="20" t="s">
        <v>187</v>
      </c>
      <c r="V1" s="20" t="s">
        <v>188</v>
      </c>
      <c r="W1" s="20" t="s">
        <v>189</v>
      </c>
      <c r="X1" s="27" t="s">
        <v>183</v>
      </c>
      <c r="Y1" s="20" t="s">
        <v>674</v>
      </c>
      <c r="Z1" s="20" t="s">
        <v>675</v>
      </c>
      <c r="AA1" s="35" t="s">
        <v>676</v>
      </c>
    </row>
    <row r="2" spans="1:27" x14ac:dyDescent="0.35">
      <c r="A2" s="29" t="s">
        <v>50</v>
      </c>
      <c r="B2" s="30" t="s">
        <v>51</v>
      </c>
      <c r="C2">
        <f>IF(COUNTBLANK(RawData[[#This Row],[Need-based aid (2023)]])=0,_xlfn.RANK.AVG(RawData[[#This Row],[Need-based aid (2023)]],RawData[Need-based aid (2023)]),"")</f>
        <v>28</v>
      </c>
      <c r="D2">
        <f>IF(COUNTBLANK(RawData[[#This Row],[Non-need based aid (2023)]])=0,_xlfn.RANK.AVG(RawData[[#This Row],[Non-need based aid (2023)]],RawData[Non-need based aid (2023)]),"")</f>
        <v>25</v>
      </c>
      <c r="E2">
        <f>IF(COUNTBLANK(RawData[[#This Row],[Non-grant aid (2023)]])=0,_xlfn.RANK.AVG(RawData[[#This Row],[Non-grant aid (2023)]],RawData[Non-grant aid (2023)]),"")</f>
        <v>40</v>
      </c>
      <c r="F2">
        <f>IF(COUNTBLANK(RawData[[#This Row],[Total State Aid]])=0,_xlfn.RANK.AVG(RawData[[#This Row],[Total State Aid]],RawData[Total State Aid]),"")</f>
        <v>34</v>
      </c>
      <c r="G2">
        <f>IF(COUNTBLANK(RawData[[#This Row],[Total State and Local Support Excluding Federal Stimulus 2023]])=0,_xlfn.RANK.AVG(RawData[[#This Row],[Total State and Local Support Excluding Federal Stimulus 2023]],RawData[Total State and Local Support Excluding Federal Stimulus 2023]),"")</f>
        <v>10</v>
      </c>
      <c r="H2">
        <f>IF(COUNTBLANK(RawData[[#This Row],[Gross FTE Enrollment 2023]])=0,_xlfn.RANK.AVG(RawData[[#This Row],[Gross FTE Enrollment 2023]],RawData[Gross FTE Enrollment 2023]),"")</f>
        <v>16</v>
      </c>
      <c r="I2">
        <f>IF(COUNTBLANK(RawData[[#This Row],[Public high school graduates, 2022-23]])=0,_xlfn.RANK.AVG(RawData[[#This Row],[Public high school graduates, 2022-23]],RawData[Public high school graduates, 2022-23]),"")</f>
        <v>24</v>
      </c>
      <c r="J2">
        <f>IF(COUNTBLANK(RawData[[#This Row],[State Support per FTE 2023]])=0,_xlfn.RANK.AVG(RawData[[#This Row],[State Support per FTE 2023]],RawData[State Support per FTE 2023]),"")</f>
        <v>13</v>
      </c>
      <c r="K2">
        <f>IF(COUNTBLANK(RawData[[#This Row],[Support Per $1,000 in Personal Income 2022]])=0,_xlfn.RANK.AVG(RawData[[#This Row],[Support Per $1,000 in Personal Income 2022]],RawData[Support Per $1,000 in Personal Income 2022]),"")</f>
        <v>6</v>
      </c>
      <c r="L2">
        <f>IF(COUNTBLANK(RawData[[#This Row],[ CUNY_ASAP]])=0,_xlfn.RANK.AVG(RawData[[#This Row],[ CUNY_ASAP]],RawData[ CUNY_ASAP]),"")</f>
        <v>19</v>
      </c>
      <c r="M2">
        <f>IF(COUNTBLANK(RawData[[#This Row],[Total State financial aid spending per high school graduate ]])=0,_xlfn.RANK.AVG(RawData[[#This Row],[Total State financial aid spending per high school graduate ]],RawData[[Total State financial aid spending per high school graduate ]]),"")</f>
        <v>42</v>
      </c>
      <c r="N2" s="31"/>
      <c r="O2">
        <f>50-(AVERAGE(K2,J2))</f>
        <v>40.5</v>
      </c>
      <c r="P2">
        <f>50-(AVERAGE(M2,L2))</f>
        <v>19.5</v>
      </c>
      <c r="Q2" s="31"/>
      <c r="R2">
        <f>AVERAGE(O2:P2)</f>
        <v>30</v>
      </c>
      <c r="S2">
        <f>RANK(R2,R$2:R$51,0)</f>
        <v>13</v>
      </c>
      <c r="T2" s="31"/>
      <c r="U2">
        <f>IF(A2='State Detail'!BM$7,1,0)</f>
        <v>0</v>
      </c>
      <c r="V2" s="24" t="e">
        <f>IF(U2=1,O2,NA())</f>
        <v>#N/A</v>
      </c>
      <c r="W2" s="24" t="e">
        <f>IF(U2=1,P2,NA())</f>
        <v>#N/A</v>
      </c>
      <c r="X2" s="31"/>
      <c r="Y2">
        <f>IF(COUNTBLANK(RawData[[#This Row],[General Public Operations]])=0,_xlfn.RANK.AVG(RawData[[#This Row],[General Public Operations]],RawData[General Public Operations]),"")</f>
        <v>15</v>
      </c>
      <c r="Z2">
        <f>IF(COUNTBLANK(RawData[[#This Row],[10 Year Percentage Change in State Support per FTE]])=0,_xlfn.RANK.AVG(RawData[[#This Row],[10 Year Percentage Change in State Support per FTE]],RawData[10 Year Percentage Change in State Support per FTE]),"")</f>
        <v>2</v>
      </c>
      <c r="AA2">
        <f>IF(COUNTBLANK(RawData[[#This Row],[Support Per $1,000 in Personal Income Percent Change since 2012]])=0,_xlfn.RANK.AVG(RawData[[#This Row],[Support Per $1,000 in Personal Income Percent Change since 2012]],RawData[Support Per $1,000 in Personal Income Percent Change since 2012]),"")</f>
        <v>23</v>
      </c>
    </row>
    <row r="3" spans="1:27" x14ac:dyDescent="0.35">
      <c r="A3" s="29" t="s">
        <v>54</v>
      </c>
      <c r="B3" s="30" t="s">
        <v>55</v>
      </c>
      <c r="C3">
        <f>IF(COUNTBLANK(RawData[[#This Row],[Need-based aid (2023)]])=0,_xlfn.RANK.AVG(RawData[[#This Row],[Need-based aid (2023)]],RawData[Need-based aid (2023)]),"")</f>
        <v>45</v>
      </c>
      <c r="D3">
        <f>IF(COUNTBLANK(RawData[[#This Row],[Non-need based aid (2023)]])=0,_xlfn.RANK.AVG(RawData[[#This Row],[Non-need based aid (2023)]],RawData[Non-need based aid (2023)]),"")</f>
        <v>28</v>
      </c>
      <c r="E3">
        <f>IF(COUNTBLANK(RawData[[#This Row],[Non-grant aid (2023)]])=0,_xlfn.RANK.AVG(RawData[[#This Row],[Non-grant aid (2023)]],RawData[Non-grant aid (2023)]),"")</f>
        <v>23</v>
      </c>
      <c r="F3">
        <f>IF(COUNTBLANK(RawData[[#This Row],[Total State Aid]])=0,_xlfn.RANK.AVG(RawData[[#This Row],[Total State Aid]],RawData[Total State Aid]),"")</f>
        <v>43</v>
      </c>
      <c r="G3">
        <f>IF(COUNTBLANK(RawData[[#This Row],[Total State and Local Support Excluding Federal Stimulus 2023]])=0,_xlfn.RANK.AVG(RawData[[#This Row],[Total State and Local Support Excluding Federal Stimulus 2023]],RawData[Total State and Local Support Excluding Federal Stimulus 2023]),"")</f>
        <v>44</v>
      </c>
      <c r="H3">
        <f>IF(COUNTBLANK(RawData[[#This Row],[Gross FTE Enrollment 2023]])=0,_xlfn.RANK.AVG(RawData[[#This Row],[Gross FTE Enrollment 2023]],RawData[Gross FTE Enrollment 2023]),"")</f>
        <v>50</v>
      </c>
      <c r="I3">
        <f>IF(COUNTBLANK(RawData[[#This Row],[Public high school graduates, 2022-23]])=0,_xlfn.RANK.AVG(RawData[[#This Row],[Public high school graduates, 2022-23]],RawData[Public high school graduates, 2022-23]),"")</f>
        <v>47</v>
      </c>
      <c r="J3">
        <f>IF(COUNTBLANK(RawData[[#This Row],[State Support per FTE 2023]])=0,_xlfn.RANK.AVG(RawData[[#This Row],[State Support per FTE 2023]],RawData[State Support per FTE 2023]),"")</f>
        <v>1</v>
      </c>
      <c r="K3">
        <f>IF(COUNTBLANK(RawData[[#This Row],[Support Per $1,000 in Personal Income 2022]])=0,_xlfn.RANK.AVG(RawData[[#This Row],[Support Per $1,000 in Personal Income 2022]],RawData[Support Per $1,000 in Personal Income 2022]),"")</f>
        <v>17</v>
      </c>
      <c r="L3">
        <f>IF(COUNTBLANK(RawData[[#This Row],[ CUNY_ASAP]])=0,_xlfn.RANK.AVG(RawData[[#This Row],[ CUNY_ASAP]],RawData[ CUNY_ASAP]),"")</f>
        <v>40</v>
      </c>
      <c r="M3">
        <f>IF(COUNTBLANK(RawData[[#This Row],[Total State financial aid spending per high school graduate ]])=0,_xlfn.RANK.AVG(RawData[[#This Row],[Total State financial aid spending per high school graduate ]],RawData[[Total State financial aid spending per high school graduate ]]),"")</f>
        <v>31</v>
      </c>
      <c r="N3" s="31"/>
      <c r="O3">
        <f t="shared" ref="O3:O51" si="0">50-(AVERAGE(K3,J3))</f>
        <v>41</v>
      </c>
      <c r="P3">
        <f t="shared" ref="P3:P51" si="1">50-(AVERAGE(M3,L3))</f>
        <v>14.5</v>
      </c>
      <c r="Q3" s="31"/>
      <c r="R3">
        <f t="shared" ref="R3:R51" si="2">AVERAGE(O3:P3)</f>
        <v>27.75</v>
      </c>
      <c r="S3">
        <f t="shared" ref="S3:S51" si="3">RANK(R3,R$2:R$51,0)</f>
        <v>19</v>
      </c>
      <c r="T3" s="31"/>
      <c r="U3">
        <f>IF(A3='State Detail'!BM$7,1,0)</f>
        <v>0</v>
      </c>
      <c r="V3" s="24" t="e">
        <f t="shared" ref="V3:V51" si="4">IF(U3=1,O3,NA())</f>
        <v>#N/A</v>
      </c>
      <c r="W3" s="24" t="e">
        <f t="shared" ref="W3:W51" si="5">IF(U3=1,P3,NA())</f>
        <v>#N/A</v>
      </c>
      <c r="X3" s="31"/>
      <c r="Y3">
        <f>IF(COUNTBLANK(RawData[[#This Row],[General Public Operations]])=0,_xlfn.RANK.AVG(RawData[[#This Row],[General Public Operations]],RawData[General Public Operations]),"")</f>
        <v>44</v>
      </c>
      <c r="Z3">
        <f>IF(COUNTBLANK(RawData[[#This Row],[10 Year Percentage Change in State Support per FTE]])=0,_xlfn.RANK.AVG(RawData[[#This Row],[10 Year Percentage Change in State Support per FTE]],RawData[10 Year Percentage Change in State Support per FTE]),"")</f>
        <v>38</v>
      </c>
      <c r="AA3">
        <f>IF(COUNTBLANK(RawData[[#This Row],[Support Per $1,000 in Personal Income Percent Change since 2012]])=0,_xlfn.RANK.AVG(RawData[[#This Row],[Support Per $1,000 in Personal Income Percent Change since 2012]],RawData[Support Per $1,000 in Personal Income Percent Change since 2012]),"")</f>
        <v>49</v>
      </c>
    </row>
    <row r="4" spans="1:27" x14ac:dyDescent="0.35">
      <c r="A4" s="29" t="s">
        <v>56</v>
      </c>
      <c r="B4" s="30" t="s">
        <v>57</v>
      </c>
      <c r="C4">
        <f>IF(COUNTBLANK(RawData[[#This Row],[Need-based aid (2023)]])=0,_xlfn.RANK.AVG(RawData[[#This Row],[Need-based aid (2023)]],RawData[Need-based aid (2023)]),"")</f>
        <v>24</v>
      </c>
      <c r="D4" t="str">
        <f>IF(COUNTBLANK(RawData[[#This Row],[Non-need based aid (2023)]])=0,_xlfn.RANK.AVG(RawData[[#This Row],[Non-need based aid (2023)]],RawData[Non-need based aid (2023)]),"")</f>
        <v/>
      </c>
      <c r="E4">
        <f>IF(COUNTBLANK(RawData[[#This Row],[Non-grant aid (2023)]])=0,_xlfn.RANK.AVG(RawData[[#This Row],[Non-grant aid (2023)]],RawData[Non-grant aid (2023)]),"")</f>
        <v>38</v>
      </c>
      <c r="F4">
        <f>IF(COUNTBLANK(RawData[[#This Row],[Total State Aid]])=0,_xlfn.RANK.AVG(RawData[[#This Row],[Total State Aid]],RawData[Total State Aid]),"")</f>
        <v>33</v>
      </c>
      <c r="G4">
        <f>IF(COUNTBLANK(RawData[[#This Row],[Total State and Local Support Excluding Federal Stimulus 2023]])=0,_xlfn.RANK.AVG(RawData[[#This Row],[Total State and Local Support Excluding Federal Stimulus 2023]],RawData[Total State and Local Support Excluding Federal Stimulus 2023]),"")</f>
        <v>16</v>
      </c>
      <c r="H4">
        <f>IF(COUNTBLANK(RawData[[#This Row],[Gross FTE Enrollment 2023]])=0,_xlfn.RANK.AVG(RawData[[#This Row],[Gross FTE Enrollment 2023]],RawData[Gross FTE Enrollment 2023]),"")</f>
        <v>9</v>
      </c>
      <c r="I4">
        <f>IF(COUNTBLANK(RawData[[#This Row],[Public high school graduates, 2022-23]])=0,_xlfn.RANK.AVG(RawData[[#This Row],[Public high school graduates, 2022-23]],RawData[Public high school graduates, 2022-23]),"")</f>
        <v>13</v>
      </c>
      <c r="J4">
        <f>IF(COUNTBLANK(RawData[[#This Row],[State Support per FTE 2023]])=0,_xlfn.RANK.AVG(RawData[[#This Row],[State Support per FTE 2023]],RawData[State Support per FTE 2023]),"")</f>
        <v>45</v>
      </c>
      <c r="K4">
        <f>IF(COUNTBLANK(RawData[[#This Row],[Support Per $1,000 in Personal Income 2022]])=0,_xlfn.RANK.AVG(RawData[[#This Row],[Support Per $1,000 in Personal Income 2022]],RawData[Support Per $1,000 in Personal Income 2022]),"")</f>
        <v>26.5</v>
      </c>
      <c r="L4">
        <f>IF(COUNTBLANK(RawData[[#This Row],[ CUNY_ASAP]])=0,_xlfn.RANK.AVG(RawData[[#This Row],[ CUNY_ASAP]],RawData[ CUNY_ASAP]),"")</f>
        <v>4</v>
      </c>
      <c r="M4">
        <f>IF(COUNTBLANK(RawData[[#This Row],[Total State financial aid spending per high school graduate ]])=0,_xlfn.RANK.AVG(RawData[[#This Row],[Total State financial aid spending per high school graduate ]],RawData[[Total State financial aid spending per high school graduate ]]),"")</f>
        <v>44</v>
      </c>
      <c r="N4" s="31"/>
      <c r="O4">
        <f t="shared" si="0"/>
        <v>14.25</v>
      </c>
      <c r="P4">
        <f t="shared" si="1"/>
        <v>26</v>
      </c>
      <c r="Q4" s="31"/>
      <c r="R4">
        <f t="shared" si="2"/>
        <v>20.125</v>
      </c>
      <c r="S4">
        <f t="shared" si="3"/>
        <v>35</v>
      </c>
      <c r="T4" s="31"/>
      <c r="U4">
        <f>IF(A4='State Detail'!BM$7,1,0)</f>
        <v>0</v>
      </c>
      <c r="V4" s="24" t="e">
        <f t="shared" si="4"/>
        <v>#N/A</v>
      </c>
      <c r="W4" s="24" t="e">
        <f t="shared" si="5"/>
        <v>#N/A</v>
      </c>
      <c r="X4" s="31"/>
      <c r="Y4">
        <f>IF(COUNTBLANK(RawData[[#This Row],[General Public Operations]])=0,_xlfn.RANK.AVG(RawData[[#This Row],[General Public Operations]],RawData[General Public Operations]),"")</f>
        <v>16</v>
      </c>
      <c r="Z4">
        <f>IF(COUNTBLANK(RawData[[#This Row],[10 Year Percentage Change in State Support per FTE]])=0,_xlfn.RANK.AVG(RawData[[#This Row],[10 Year Percentage Change in State Support per FTE]],RawData[10 Year Percentage Change in State Support per FTE]),"")</f>
        <v>43</v>
      </c>
      <c r="AA4">
        <f>IF(COUNTBLANK(RawData[[#This Row],[Support Per $1,000 in Personal Income Percent Change since 2012]])=0,_xlfn.RANK.AVG(RawData[[#This Row],[Support Per $1,000 in Personal Income Percent Change since 2012]],RawData[Support Per $1,000 in Personal Income Percent Change since 2012]),"")</f>
        <v>42</v>
      </c>
    </row>
    <row r="5" spans="1:27" x14ac:dyDescent="0.35">
      <c r="A5" s="29" t="s">
        <v>61</v>
      </c>
      <c r="B5" s="30" t="s">
        <v>62</v>
      </c>
      <c r="C5">
        <f>IF(COUNTBLANK(RawData[[#This Row],[Need-based aid (2023)]])=0,_xlfn.RANK.AVG(RawData[[#This Row],[Need-based aid (2023)]],RawData[Need-based aid (2023)]),"")</f>
        <v>50</v>
      </c>
      <c r="D5">
        <f>IF(COUNTBLANK(RawData[[#This Row],[Non-need based aid (2023)]])=0,_xlfn.RANK.AVG(RawData[[#This Row],[Non-need based aid (2023)]],RawData[Non-need based aid (2023)]),"")</f>
        <v>9</v>
      </c>
      <c r="E5">
        <f>IF(COUNTBLANK(RawData[[#This Row],[Non-grant aid (2023)]])=0,_xlfn.RANK.AVG(RawData[[#This Row],[Non-grant aid (2023)]],RawData[Non-grant aid (2023)]),"")</f>
        <v>29</v>
      </c>
      <c r="F5">
        <f>IF(COUNTBLANK(RawData[[#This Row],[Total State Aid]])=0,_xlfn.RANK.AVG(RawData[[#This Row],[Total State Aid]],RawData[Total State Aid]),"")</f>
        <v>30</v>
      </c>
      <c r="G5">
        <f>IF(COUNTBLANK(RawData[[#This Row],[Total State and Local Support Excluding Federal Stimulus 2023]])=0,_xlfn.RANK.AVG(RawData[[#This Row],[Total State and Local Support Excluding Federal Stimulus 2023]],RawData[Total State and Local Support Excluding Federal Stimulus 2023]),"")</f>
        <v>33</v>
      </c>
      <c r="H5">
        <f>IF(COUNTBLANK(RawData[[#This Row],[Gross FTE Enrollment 2023]])=0,_xlfn.RANK.AVG(RawData[[#This Row],[Gross FTE Enrollment 2023]],RawData[Gross FTE Enrollment 2023]),"")</f>
        <v>33</v>
      </c>
      <c r="I5">
        <f>IF(COUNTBLANK(RawData[[#This Row],[Public high school graduates, 2022-23]])=0,_xlfn.RANK.AVG(RawData[[#This Row],[Public high school graduates, 2022-23]],RawData[Public high school graduates, 2022-23]),"")</f>
        <v>33</v>
      </c>
      <c r="J5">
        <f>IF(COUNTBLANK(RawData[[#This Row],[State Support per FTE 2023]])=0,_xlfn.RANK.AVG(RawData[[#This Row],[State Support per FTE 2023]],RawData[State Support per FTE 2023]),"")</f>
        <v>28</v>
      </c>
      <c r="K5">
        <f>IF(COUNTBLANK(RawData[[#This Row],[Support Per $1,000 in Personal Income 2022]])=0,_xlfn.RANK.AVG(RawData[[#This Row],[Support Per $1,000 in Personal Income 2022]],RawData[Support Per $1,000 in Personal Income 2022]),"")</f>
        <v>11</v>
      </c>
      <c r="L5">
        <f>IF(COUNTBLANK(RawData[[#This Row],[ CUNY_ASAP]])=0,_xlfn.RANK.AVG(RawData[[#This Row],[ CUNY_ASAP]],RawData[ CUNY_ASAP]),"")</f>
        <v>50</v>
      </c>
      <c r="M5">
        <f>IF(COUNTBLANK(RawData[[#This Row],[Total State financial aid spending per high school graduate ]])=0,_xlfn.RANK.AVG(RawData[[#This Row],[Total State financial aid spending per high school graduate ]],RawData[[Total State financial aid spending per high school graduate ]]),"")</f>
        <v>25</v>
      </c>
      <c r="N5" s="31"/>
      <c r="O5">
        <f t="shared" si="0"/>
        <v>30.5</v>
      </c>
      <c r="P5">
        <f t="shared" si="1"/>
        <v>12.5</v>
      </c>
      <c r="Q5" s="31"/>
      <c r="R5">
        <f>AVERAGE(O5:P5)</f>
        <v>21.5</v>
      </c>
      <c r="S5">
        <f t="shared" si="3"/>
        <v>32</v>
      </c>
      <c r="T5" s="31"/>
      <c r="U5">
        <f>IF(A5='State Detail'!BM$7,1,0)</f>
        <v>0</v>
      </c>
      <c r="V5" s="24" t="e">
        <f t="shared" si="4"/>
        <v>#N/A</v>
      </c>
      <c r="W5" s="24" t="e">
        <f t="shared" si="5"/>
        <v>#N/A</v>
      </c>
      <c r="X5" s="31"/>
      <c r="Y5">
        <f>IF(COUNTBLANK(RawData[[#This Row],[General Public Operations]])=0,_xlfn.RANK.AVG(RawData[[#This Row],[General Public Operations]],RawData[General Public Operations]),"")</f>
        <v>35</v>
      </c>
      <c r="Z5">
        <f>IF(COUNTBLANK(RawData[[#This Row],[10 Year Percentage Change in State Support per FTE]])=0,_xlfn.RANK.AVG(RawData[[#This Row],[10 Year Percentage Change in State Support per FTE]],RawData[10 Year Percentage Change in State Support per FTE]),"")</f>
        <v>42</v>
      </c>
      <c r="AA5">
        <f>IF(COUNTBLANK(RawData[[#This Row],[Support Per $1,000 in Personal Income Percent Change since 2012]])=0,_xlfn.RANK.AVG(RawData[[#This Row],[Support Per $1,000 in Personal Income Percent Change since 2012]],RawData[Support Per $1,000 in Personal Income Percent Change since 2012]),"")</f>
        <v>47</v>
      </c>
    </row>
    <row r="6" spans="1:27" x14ac:dyDescent="0.35">
      <c r="A6" s="29" t="s">
        <v>2</v>
      </c>
      <c r="B6" s="30" t="s">
        <v>63</v>
      </c>
      <c r="C6">
        <f>IF(COUNTBLANK(RawData[[#This Row],[Need-based aid (2023)]])=0,_xlfn.RANK.AVG(RawData[[#This Row],[Need-based aid (2023)]],RawData[Need-based aid (2023)]),"")</f>
        <v>1</v>
      </c>
      <c r="D6">
        <f>IF(COUNTBLANK(RawData[[#This Row],[Non-need based aid (2023)]])=0,_xlfn.RANK.AVG(RawData[[#This Row],[Non-need based aid (2023)]],RawData[Non-need based aid (2023)]),"")</f>
        <v>36</v>
      </c>
      <c r="E6" t="str">
        <f>IF(COUNTBLANK(RawData[[#This Row],[Non-grant aid (2023)]])=0,_xlfn.RANK.AVG(RawData[[#This Row],[Non-grant aid (2023)]],RawData[Non-grant aid (2023)]),"")</f>
        <v/>
      </c>
      <c r="F6">
        <f>IF(COUNTBLANK(RawData[[#This Row],[Total State Aid]])=0,_xlfn.RANK.AVG(RawData[[#This Row],[Total State Aid]],RawData[Total State Aid]),"")</f>
        <v>1</v>
      </c>
      <c r="G6">
        <f>IF(COUNTBLANK(RawData[[#This Row],[Total State and Local Support Excluding Federal Stimulus 2023]])=0,_xlfn.RANK.AVG(RawData[[#This Row],[Total State and Local Support Excluding Federal Stimulus 2023]],RawData[Total State and Local Support Excluding Federal Stimulus 2023]),"")</f>
        <v>1</v>
      </c>
      <c r="H6">
        <f>IF(COUNTBLANK(RawData[[#This Row],[Gross FTE Enrollment 2023]])=0,_xlfn.RANK.AVG(RawData[[#This Row],[Gross FTE Enrollment 2023]],RawData[Gross FTE Enrollment 2023]),"")</f>
        <v>1</v>
      </c>
      <c r="I6">
        <f>IF(COUNTBLANK(RawData[[#This Row],[Public high school graduates, 2022-23]])=0,_xlfn.RANK.AVG(RawData[[#This Row],[Public high school graduates, 2022-23]],RawData[Public high school graduates, 2022-23]),"")</f>
        <v>1</v>
      </c>
      <c r="J6">
        <f>IF(COUNTBLANK(RawData[[#This Row],[State Support per FTE 2023]])=0,_xlfn.RANK.AVG(RawData[[#This Row],[State Support per FTE 2023]],RawData[State Support per FTE 2023]),"")</f>
        <v>11</v>
      </c>
      <c r="K6">
        <f>IF(COUNTBLANK(RawData[[#This Row],[Support Per $1,000 in Personal Income 2022]])=0,_xlfn.RANK.AVG(RawData[[#This Row],[Support Per $1,000 in Personal Income 2022]],RawData[Support Per $1,000 in Personal Income 2022]),"")</f>
        <v>8</v>
      </c>
      <c r="L6">
        <f>IF(COUNTBLANK(RawData[[#This Row],[ CUNY_ASAP]])=0,_xlfn.RANK.AVG(RawData[[#This Row],[ CUNY_ASAP]],RawData[ CUNY_ASAP]),"")</f>
        <v>3</v>
      </c>
      <c r="M6">
        <f>IF(COUNTBLANK(RawData[[#This Row],[Total State financial aid spending per high school graduate ]])=0,_xlfn.RANK.AVG(RawData[[#This Row],[Total State financial aid spending per high school graduate ]],RawData[[Total State financial aid spending per high school graduate ]]),"")</f>
        <v>11</v>
      </c>
      <c r="N6" s="31"/>
      <c r="O6">
        <f t="shared" si="0"/>
        <v>40.5</v>
      </c>
      <c r="P6">
        <f t="shared" si="1"/>
        <v>43</v>
      </c>
      <c r="Q6" s="31"/>
      <c r="R6">
        <f t="shared" si="2"/>
        <v>41.75</v>
      </c>
      <c r="S6">
        <f t="shared" si="3"/>
        <v>1</v>
      </c>
      <c r="T6" s="31"/>
      <c r="U6">
        <f>IF(A6='State Detail'!BM$7,1,0)</f>
        <v>0</v>
      </c>
      <c r="V6" s="24" t="e">
        <f t="shared" si="4"/>
        <v>#N/A</v>
      </c>
      <c r="W6" s="24" t="e">
        <f t="shared" si="5"/>
        <v>#N/A</v>
      </c>
      <c r="X6" s="31"/>
      <c r="Y6">
        <f>IF(COUNTBLANK(RawData[[#This Row],[General Public Operations]])=0,_xlfn.RANK.AVG(RawData[[#This Row],[General Public Operations]],RawData[General Public Operations]),"")</f>
        <v>1</v>
      </c>
      <c r="Z6">
        <f>IF(COUNTBLANK(RawData[[#This Row],[10 Year Percentage Change in State Support per FTE]])=0,_xlfn.RANK.AVG(RawData[[#This Row],[10 Year Percentage Change in State Support per FTE]],RawData[10 Year Percentage Change in State Support per FTE]),"")</f>
        <v>8</v>
      </c>
      <c r="AA6">
        <f>IF(COUNTBLANK(RawData[[#This Row],[Support Per $1,000 in Personal Income Percent Change since 2012]])=0,_xlfn.RANK.AVG(RawData[[#This Row],[Support Per $1,000 in Personal Income Percent Change since 2012]],RawData[Support Per $1,000 in Personal Income Percent Change since 2012]),"")</f>
        <v>2</v>
      </c>
    </row>
    <row r="7" spans="1:27" x14ac:dyDescent="0.35">
      <c r="A7" s="29" t="s">
        <v>67</v>
      </c>
      <c r="B7" s="30" t="s">
        <v>68</v>
      </c>
      <c r="C7">
        <f>IF(COUNTBLANK(RawData[[#This Row],[Need-based aid (2023)]])=0,_xlfn.RANK.AVG(RawData[[#This Row],[Need-based aid (2023)]],RawData[Need-based aid (2023)]),"")</f>
        <v>14</v>
      </c>
      <c r="D7">
        <f>IF(COUNTBLANK(RawData[[#This Row],[Non-need based aid (2023)]])=0,_xlfn.RANK.AVG(RawData[[#This Row],[Non-need based aid (2023)]],RawData[Non-need based aid (2023)]),"")</f>
        <v>37</v>
      </c>
      <c r="E7">
        <f>IF(COUNTBLANK(RawData[[#This Row],[Non-grant aid (2023)]])=0,_xlfn.RANK.AVG(RawData[[#This Row],[Non-grant aid (2023)]],RawData[Non-grant aid (2023)]),"")</f>
        <v>11</v>
      </c>
      <c r="F7">
        <f>IF(COUNTBLANK(RawData[[#This Row],[Total State Aid]])=0,_xlfn.RANK.AVG(RawData[[#This Row],[Total State Aid]],RawData[Total State Aid]),"")</f>
        <v>20</v>
      </c>
      <c r="G7">
        <f>IF(COUNTBLANK(RawData[[#This Row],[Total State and Local Support Excluding Federal Stimulus 2023]])=0,_xlfn.RANK.AVG(RawData[[#This Row],[Total State and Local Support Excluding Federal Stimulus 2023]],RawData[Total State and Local Support Excluding Federal Stimulus 2023]),"")</f>
        <v>28</v>
      </c>
      <c r="H7">
        <f>IF(COUNTBLANK(RawData[[#This Row],[Gross FTE Enrollment 2023]])=0,_xlfn.RANK.AVG(RawData[[#This Row],[Gross FTE Enrollment 2023]],RawData[Gross FTE Enrollment 2023]),"")</f>
        <v>19</v>
      </c>
      <c r="I7">
        <f>IF(COUNTBLANK(RawData[[#This Row],[Public high school graduates, 2022-23]])=0,_xlfn.RANK.AVG(RawData[[#This Row],[Public high school graduates, 2022-23]],RawData[Public high school graduates, 2022-23]),"")</f>
        <v>22</v>
      </c>
      <c r="J7">
        <f>IF(COUNTBLANK(RawData[[#This Row],[State Support per FTE 2023]])=0,_xlfn.RANK.AVG(RawData[[#This Row],[State Support per FTE 2023]],RawData[State Support per FTE 2023]),"")</f>
        <v>43</v>
      </c>
      <c r="K7">
        <f>IF(COUNTBLANK(RawData[[#This Row],[Support Per $1,000 in Personal Income 2022]])=0,_xlfn.RANK.AVG(RawData[[#This Row],[Support Per $1,000 in Personal Income 2022]],RawData[Support Per $1,000 in Personal Income 2022]),"")</f>
        <v>45.5</v>
      </c>
      <c r="L7">
        <f>IF(COUNTBLANK(RawData[[#This Row],[ CUNY_ASAP]])=0,_xlfn.RANK.AVG(RawData[[#This Row],[ CUNY_ASAP]],RawData[ CUNY_ASAP]),"")</f>
        <v>18</v>
      </c>
      <c r="M7">
        <f>IF(COUNTBLANK(RawData[[#This Row],[Total State financial aid spending per high school graduate ]])=0,_xlfn.RANK.AVG(RawData[[#This Row],[Total State financial aid spending per high school graduate ]],RawData[[Total State financial aid spending per high school graduate ]]),"")</f>
        <v>21</v>
      </c>
      <c r="N7" s="31"/>
      <c r="O7">
        <f t="shared" si="0"/>
        <v>5.75</v>
      </c>
      <c r="P7">
        <f t="shared" si="1"/>
        <v>30.5</v>
      </c>
      <c r="Q7" s="31"/>
      <c r="R7">
        <f t="shared" si="2"/>
        <v>18.125</v>
      </c>
      <c r="S7">
        <f t="shared" si="3"/>
        <v>39</v>
      </c>
      <c r="T7" s="31"/>
      <c r="U7">
        <f>IF(A7='State Detail'!BM$7,1,0)</f>
        <v>0</v>
      </c>
      <c r="V7" s="24" t="e">
        <f t="shared" si="4"/>
        <v>#N/A</v>
      </c>
      <c r="W7" s="24" t="e">
        <f t="shared" si="5"/>
        <v>#N/A</v>
      </c>
      <c r="X7" s="31"/>
      <c r="Y7">
        <f>IF(COUNTBLANK(RawData[[#This Row],[General Public Operations]])=0,_xlfn.RANK.AVG(RawData[[#This Row],[General Public Operations]],RawData[General Public Operations]),"")</f>
        <v>25</v>
      </c>
      <c r="Z7">
        <f>IF(COUNTBLANK(RawData[[#This Row],[10 Year Percentage Change in State Support per FTE]])=0,_xlfn.RANK.AVG(RawData[[#This Row],[10 Year Percentage Change in State Support per FTE]],RawData[10 Year Percentage Change in State Support per FTE]),"")</f>
        <v>5</v>
      </c>
      <c r="AA7">
        <f>IF(COUNTBLANK(RawData[[#This Row],[Support Per $1,000 in Personal Income Percent Change since 2012]])=0,_xlfn.RANK.AVG(RawData[[#This Row],[Support Per $1,000 in Personal Income Percent Change since 2012]],RawData[Support Per $1,000 in Personal Income Percent Change since 2012]),"")</f>
        <v>6</v>
      </c>
    </row>
    <row r="8" spans="1:27" x14ac:dyDescent="0.35">
      <c r="A8" s="29" t="s">
        <v>71</v>
      </c>
      <c r="B8" s="30" t="s">
        <v>72</v>
      </c>
      <c r="C8">
        <f>IF(COUNTBLANK(RawData[[#This Row],[Need-based aid (2023)]])=0,_xlfn.RANK.AVG(RawData[[#This Row],[Need-based aid (2023)]],RawData[Need-based aid (2023)]),"")</f>
        <v>31</v>
      </c>
      <c r="D8">
        <f>IF(COUNTBLANK(RawData[[#This Row],[Non-need based aid (2023)]])=0,_xlfn.RANK.AVG(RawData[[#This Row],[Non-need based aid (2023)]],RawData[Non-need based aid (2023)]),"")</f>
        <v>18</v>
      </c>
      <c r="E8">
        <f>IF(COUNTBLANK(RawData[[#This Row],[Non-grant aid (2023)]])=0,_xlfn.RANK.AVG(RawData[[#This Row],[Non-grant aid (2023)]],RawData[Non-grant aid (2023)]),"")</f>
        <v>3</v>
      </c>
      <c r="F8">
        <f>IF(COUNTBLANK(RawData[[#This Row],[Total State Aid]])=0,_xlfn.RANK.AVG(RawData[[#This Row],[Total State Aid]],RawData[Total State Aid]),"")</f>
        <v>22</v>
      </c>
      <c r="G8">
        <f>IF(COUNTBLANK(RawData[[#This Row],[Total State and Local Support Excluding Federal Stimulus 2023]])=0,_xlfn.RANK.AVG(RawData[[#This Row],[Total State and Local Support Excluding Federal Stimulus 2023]],RawData[Total State and Local Support Excluding Federal Stimulus 2023]),"")</f>
        <v>22</v>
      </c>
      <c r="H8">
        <f>IF(COUNTBLANK(RawData[[#This Row],[Gross FTE Enrollment 2023]])=0,_xlfn.RANK.AVG(RawData[[#This Row],[Gross FTE Enrollment 2023]],RawData[Gross FTE Enrollment 2023]),"")</f>
        <v>35</v>
      </c>
      <c r="I8">
        <f>IF(COUNTBLANK(RawData[[#This Row],[Public high school graduates, 2022-23]])=0,_xlfn.RANK.AVG(RawData[[#This Row],[Public high school graduates, 2022-23]],RawData[Public high school graduates, 2022-23]),"")</f>
        <v>30</v>
      </c>
      <c r="J8">
        <f>IF(COUNTBLANK(RawData[[#This Row],[State Support per FTE 2023]])=0,_xlfn.RANK.AVG(RawData[[#This Row],[State Support per FTE 2023]],RawData[State Support per FTE 2023]),"")</f>
        <v>4</v>
      </c>
      <c r="K8">
        <f>IF(COUNTBLANK(RawData[[#This Row],[Support Per $1,000 in Personal Income 2022]])=0,_xlfn.RANK.AVG(RawData[[#This Row],[Support Per $1,000 in Personal Income 2022]],RawData[Support Per $1,000 in Personal Income 2022]),"")</f>
        <v>25</v>
      </c>
      <c r="L8">
        <f>IF(COUNTBLANK(RawData[[#This Row],[ CUNY_ASAP]])=0,_xlfn.RANK.AVG(RawData[[#This Row],[ CUNY_ASAP]],RawData[ CUNY_ASAP]),"")</f>
        <v>45</v>
      </c>
      <c r="M8">
        <f>IF(COUNTBLANK(RawData[[#This Row],[Total State financial aid spending per high school graduate ]])=0,_xlfn.RANK.AVG(RawData[[#This Row],[Total State financial aid spending per high school graduate ]],RawData[[Total State financial aid spending per high school graduate ]]),"")</f>
        <v>14</v>
      </c>
      <c r="N8" s="31"/>
      <c r="O8">
        <f t="shared" si="0"/>
        <v>35.5</v>
      </c>
      <c r="P8">
        <f t="shared" si="1"/>
        <v>20.5</v>
      </c>
      <c r="Q8" s="31"/>
      <c r="R8">
        <f t="shared" si="2"/>
        <v>28</v>
      </c>
      <c r="S8">
        <f t="shared" si="3"/>
        <v>18</v>
      </c>
      <c r="T8" s="31"/>
      <c r="U8">
        <f>IF(A8='State Detail'!BM$7,1,0)</f>
        <v>0</v>
      </c>
      <c r="V8" s="24" t="e">
        <f t="shared" si="4"/>
        <v>#N/A</v>
      </c>
      <c r="W8" s="24" t="e">
        <f t="shared" si="5"/>
        <v>#N/A</v>
      </c>
      <c r="X8" s="31"/>
      <c r="Y8">
        <f>IF(COUNTBLANK(RawData[[#This Row],[General Public Operations]])=0,_xlfn.RANK.AVG(RawData[[#This Row],[General Public Operations]],RawData[General Public Operations]),"")</f>
        <v>23</v>
      </c>
      <c r="Z8">
        <f>IF(COUNTBLANK(RawData[[#This Row],[10 Year Percentage Change in State Support per FTE]])=0,_xlfn.RANK.AVG(RawData[[#This Row],[10 Year Percentage Change in State Support per FTE]],RawData[10 Year Percentage Change in State Support per FTE]),"")</f>
        <v>28</v>
      </c>
      <c r="AA8">
        <f>IF(COUNTBLANK(RawData[[#This Row],[Support Per $1,000 in Personal Income Percent Change since 2012]])=0,_xlfn.RANK.AVG(RawData[[#This Row],[Support Per $1,000 in Personal Income Percent Change since 2012]],RawData[Support Per $1,000 in Personal Income Percent Change since 2012]),"")</f>
        <v>5</v>
      </c>
    </row>
    <row r="9" spans="1:27" x14ac:dyDescent="0.35">
      <c r="A9" s="29" t="s">
        <v>73</v>
      </c>
      <c r="B9" s="30" t="s">
        <v>74</v>
      </c>
      <c r="C9">
        <f>IF(COUNTBLANK(RawData[[#This Row],[Need-based aid (2023)]])=0,_xlfn.RANK.AVG(RawData[[#This Row],[Need-based aid (2023)]],RawData[Need-based aid (2023)]),"")</f>
        <v>38</v>
      </c>
      <c r="D9">
        <f>IF(COUNTBLANK(RawData[[#This Row],[Non-need based aid (2023)]])=0,_xlfn.RANK.AVG(RawData[[#This Row],[Non-need based aid (2023)]],RawData[Non-need based aid (2023)]),"")</f>
        <v>16</v>
      </c>
      <c r="E9">
        <f>IF(COUNTBLANK(RawData[[#This Row],[Non-grant aid (2023)]])=0,_xlfn.RANK.AVG(RawData[[#This Row],[Non-grant aid (2023)]],RawData[Non-grant aid (2023)]),"")</f>
        <v>42</v>
      </c>
      <c r="F9">
        <f>IF(COUNTBLANK(RawData[[#This Row],[Total State Aid]])=0,_xlfn.RANK.AVG(RawData[[#This Row],[Total State Aid]],RawData[Total State Aid]),"")</f>
        <v>38</v>
      </c>
      <c r="G9">
        <f>IF(COUNTBLANK(RawData[[#This Row],[Total State and Local Support Excluding Federal Stimulus 2023]])=0,_xlfn.RANK.AVG(RawData[[#This Row],[Total State and Local Support Excluding Federal Stimulus 2023]],RawData[Total State and Local Support Excluding Federal Stimulus 2023]),"")</f>
        <v>47</v>
      </c>
      <c r="H9">
        <f>IF(COUNTBLANK(RawData[[#This Row],[Gross FTE Enrollment 2023]])=0,_xlfn.RANK.AVG(RawData[[#This Row],[Gross FTE Enrollment 2023]],RawData[Gross FTE Enrollment 2023]),"")</f>
        <v>40</v>
      </c>
      <c r="I9">
        <f>IF(COUNTBLANK(RawData[[#This Row],[Public high school graduates, 2022-23]])=0,_xlfn.RANK.AVG(RawData[[#This Row],[Public high school graduates, 2022-23]],RawData[Public high school graduates, 2022-23]),"")</f>
        <v>43</v>
      </c>
      <c r="J9">
        <f>IF(COUNTBLANK(RawData[[#This Row],[State Support per FTE 2023]])=0,_xlfn.RANK.AVG(RawData[[#This Row],[State Support per FTE 2023]],RawData[State Support per FTE 2023]),"")</f>
        <v>46</v>
      </c>
      <c r="K9">
        <f>IF(COUNTBLANK(RawData[[#This Row],[Support Per $1,000 in Personal Income 2022]])=0,_xlfn.RANK.AVG(RawData[[#This Row],[Support Per $1,000 in Personal Income 2022]],RawData[Support Per $1,000 in Personal Income 2022]),"")</f>
        <v>35</v>
      </c>
      <c r="L9">
        <f>IF(COUNTBLANK(RawData[[#This Row],[ CUNY_ASAP]])=0,_xlfn.RANK.AVG(RawData[[#This Row],[ CUNY_ASAP]],RawData[ CUNY_ASAP]),"")</f>
        <v>37</v>
      </c>
      <c r="M9">
        <f>IF(COUNTBLANK(RawData[[#This Row],[Total State financial aid spending per high school graduate ]])=0,_xlfn.RANK.AVG(RawData[[#This Row],[Total State financial aid spending per high school graduate ]],RawData[[Total State financial aid spending per high school graduate ]]),"")</f>
        <v>20</v>
      </c>
      <c r="N9" s="31"/>
      <c r="O9">
        <f t="shared" si="0"/>
        <v>9.5</v>
      </c>
      <c r="P9">
        <f t="shared" si="1"/>
        <v>21.5</v>
      </c>
      <c r="Q9" s="31"/>
      <c r="R9">
        <f t="shared" si="2"/>
        <v>15.5</v>
      </c>
      <c r="S9">
        <f t="shared" si="3"/>
        <v>44</v>
      </c>
      <c r="T9" s="31"/>
      <c r="U9">
        <f>IF(A9='State Detail'!BM$7,1,0)</f>
        <v>0</v>
      </c>
      <c r="V9" s="24" t="e">
        <f t="shared" si="4"/>
        <v>#N/A</v>
      </c>
      <c r="W9" s="24" t="e">
        <f t="shared" si="5"/>
        <v>#N/A</v>
      </c>
      <c r="X9" s="31"/>
      <c r="Y9">
        <f>IF(COUNTBLANK(RawData[[#This Row],[General Public Operations]])=0,_xlfn.RANK.AVG(RawData[[#This Row],[General Public Operations]],RawData[General Public Operations]),"")</f>
        <v>47</v>
      </c>
      <c r="Z9">
        <f>IF(COUNTBLANK(RawData[[#This Row],[10 Year Percentage Change in State Support per FTE]])=0,_xlfn.RANK.AVG(RawData[[#This Row],[10 Year Percentage Change in State Support per FTE]],RawData[10 Year Percentage Change in State Support per FTE]),"")</f>
        <v>46</v>
      </c>
      <c r="AA9">
        <f>IF(COUNTBLANK(RawData[[#This Row],[Support Per $1,000 in Personal Income Percent Change since 2012]])=0,_xlfn.RANK.AVG(RawData[[#This Row],[Support Per $1,000 in Personal Income Percent Change since 2012]],RawData[Support Per $1,000 in Personal Income Percent Change since 2012]),"")</f>
        <v>29</v>
      </c>
    </row>
    <row r="10" spans="1:27" x14ac:dyDescent="0.35">
      <c r="A10" s="29" t="s">
        <v>75</v>
      </c>
      <c r="B10" s="30" t="s">
        <v>76</v>
      </c>
      <c r="C10">
        <f>IF(COUNTBLANK(RawData[[#This Row],[Need-based aid (2023)]])=0,_xlfn.RANK.AVG(RawData[[#This Row],[Need-based aid (2023)]],RawData[Need-based aid (2023)]),"")</f>
        <v>9</v>
      </c>
      <c r="D10">
        <f>IF(COUNTBLANK(RawData[[#This Row],[Non-need based aid (2023)]])=0,_xlfn.RANK.AVG(RawData[[#This Row],[Non-need based aid (2023)]],RawData[Non-need based aid (2023)]),"")</f>
        <v>2</v>
      </c>
      <c r="E10">
        <f>IF(COUNTBLANK(RawData[[#This Row],[Non-grant aid (2023)]])=0,_xlfn.RANK.AVG(RawData[[#This Row],[Non-grant aid (2023)]],RawData[Non-grant aid (2023)]),"")</f>
        <v>6</v>
      </c>
      <c r="F10">
        <f>IF(COUNTBLANK(RawData[[#This Row],[Total State Aid]])=0,_xlfn.RANK.AVG(RawData[[#This Row],[Total State Aid]],RawData[Total State Aid]),"")</f>
        <v>3</v>
      </c>
      <c r="G10">
        <f>IF(COUNTBLANK(RawData[[#This Row],[Total State and Local Support Excluding Federal Stimulus 2023]])=0,_xlfn.RANK.AVG(RawData[[#This Row],[Total State and Local Support Excluding Federal Stimulus 2023]],RawData[Total State and Local Support Excluding Federal Stimulus 2023]),"")</f>
        <v>5</v>
      </c>
      <c r="H10">
        <f>IF(COUNTBLANK(RawData[[#This Row],[Gross FTE Enrollment 2023]])=0,_xlfn.RANK.AVG(RawData[[#This Row],[Gross FTE Enrollment 2023]],RawData[Gross FTE Enrollment 2023]),"")</f>
        <v>3</v>
      </c>
      <c r="I10">
        <f>IF(COUNTBLANK(RawData[[#This Row],[Public high school graduates, 2022-23]])=0,_xlfn.RANK.AVG(RawData[[#This Row],[Public high school graduates, 2022-23]],RawData[Public high school graduates, 2022-23]),"")</f>
        <v>3</v>
      </c>
      <c r="J10">
        <f>IF(COUNTBLANK(RawData[[#This Row],[State Support per FTE 2023]])=0,_xlfn.RANK.AVG(RawData[[#This Row],[State Support per FTE 2023]],RawData[State Support per FTE 2023]),"")</f>
        <v>24</v>
      </c>
      <c r="K10">
        <f>IF(COUNTBLANK(RawData[[#This Row],[Support Per $1,000 in Personal Income 2022]])=0,_xlfn.RANK.AVG(RawData[[#This Row],[Support Per $1,000 in Personal Income 2022]],RawData[Support Per $1,000 in Personal Income 2022]),"")</f>
        <v>38</v>
      </c>
      <c r="L10">
        <f>IF(COUNTBLANK(RawData[[#This Row],[ CUNY_ASAP]])=0,_xlfn.RANK.AVG(RawData[[#This Row],[ CUNY_ASAP]],RawData[ CUNY_ASAP]),"")</f>
        <v>41</v>
      </c>
      <c r="M10">
        <f>IF(COUNTBLANK(RawData[[#This Row],[Total State financial aid spending per high school graduate ]])=0,_xlfn.RANK.AVG(RawData[[#This Row],[Total State financial aid spending per high school graduate ]],RawData[[Total State financial aid spending per high school graduate ]]),"")</f>
        <v>13</v>
      </c>
      <c r="N10" s="31"/>
      <c r="O10">
        <f t="shared" si="0"/>
        <v>19</v>
      </c>
      <c r="P10">
        <f t="shared" si="1"/>
        <v>23</v>
      </c>
      <c r="Q10" s="31"/>
      <c r="R10">
        <f t="shared" si="2"/>
        <v>21</v>
      </c>
      <c r="S10">
        <f t="shared" si="3"/>
        <v>34</v>
      </c>
      <c r="T10" s="31"/>
      <c r="U10">
        <f>IF(A10='State Detail'!BM$7,1,0)</f>
        <v>0</v>
      </c>
      <c r="V10" s="24" t="e">
        <f t="shared" si="4"/>
        <v>#N/A</v>
      </c>
      <c r="W10" s="24" t="e">
        <f t="shared" si="5"/>
        <v>#N/A</v>
      </c>
      <c r="X10" s="31"/>
      <c r="Y10">
        <f>IF(COUNTBLANK(RawData[[#This Row],[General Public Operations]])=0,_xlfn.RANK.AVG(RawData[[#This Row],[General Public Operations]],RawData[General Public Operations]),"")</f>
        <v>5</v>
      </c>
      <c r="Z10">
        <f>IF(COUNTBLANK(RawData[[#This Row],[10 Year Percentage Change in State Support per FTE]])=0,_xlfn.RANK.AVG(RawData[[#This Row],[10 Year Percentage Change in State Support per FTE]],RawData[10 Year Percentage Change in State Support per FTE]),"")</f>
        <v>15</v>
      </c>
      <c r="AA10">
        <f>IF(COUNTBLANK(RawData[[#This Row],[Support Per $1,000 in Personal Income Percent Change since 2012]])=0,_xlfn.RANK.AVG(RawData[[#This Row],[Support Per $1,000 in Personal Income Percent Change since 2012]],RawData[Support Per $1,000 in Personal Income Percent Change since 2012]),"")</f>
        <v>19.5</v>
      </c>
    </row>
    <row r="11" spans="1:27" x14ac:dyDescent="0.35">
      <c r="A11" s="29" t="s">
        <v>77</v>
      </c>
      <c r="B11" s="30" t="s">
        <v>78</v>
      </c>
      <c r="C11">
        <f>IF(COUNTBLANK(RawData[[#This Row],[Need-based aid (2023)]])=0,_xlfn.RANK.AVG(RawData[[#This Row],[Need-based aid (2023)]],RawData[Need-based aid (2023)]),"")</f>
        <v>43</v>
      </c>
      <c r="D11">
        <f>IF(COUNTBLANK(RawData[[#This Row],[Non-need based aid (2023)]])=0,_xlfn.RANK.AVG(RawData[[#This Row],[Non-need based aid (2023)]],RawData[Non-need based aid (2023)]),"")</f>
        <v>1</v>
      </c>
      <c r="E11">
        <f>IF(COUNTBLANK(RawData[[#This Row],[Non-grant aid (2023)]])=0,_xlfn.RANK.AVG(RawData[[#This Row],[Non-grant aid (2023)]],RawData[Non-grant aid (2023)]),"")</f>
        <v>14</v>
      </c>
      <c r="F11">
        <f>IF(COUNTBLANK(RawData[[#This Row],[Total State Aid]])=0,_xlfn.RANK.AVG(RawData[[#This Row],[Total State Aid]],RawData[Total State Aid]),"")</f>
        <v>5</v>
      </c>
      <c r="G11">
        <f>IF(COUNTBLANK(RawData[[#This Row],[Total State and Local Support Excluding Federal Stimulus 2023]])=0,_xlfn.RANK.AVG(RawData[[#This Row],[Total State and Local Support Excluding Federal Stimulus 2023]],RawData[Total State and Local Support Excluding Federal Stimulus 2023]),"")</f>
        <v>7</v>
      </c>
      <c r="H11">
        <f>IF(COUNTBLANK(RawData[[#This Row],[Gross FTE Enrollment 2023]])=0,_xlfn.RANK.AVG(RawData[[#This Row],[Gross FTE Enrollment 2023]],RawData[Gross FTE Enrollment 2023]),"")</f>
        <v>6</v>
      </c>
      <c r="I11">
        <f>IF(COUNTBLANK(RawData[[#This Row],[Public high school graduates, 2022-23]])=0,_xlfn.RANK.AVG(RawData[[#This Row],[Public high school graduates, 2022-23]],RawData[Public high school graduates, 2022-23]),"")</f>
        <v>8</v>
      </c>
      <c r="J11">
        <f>IF(COUNTBLANK(RawData[[#This Row],[State Support per FTE 2023]])=0,_xlfn.RANK.AVG(RawData[[#This Row],[State Support per FTE 2023]],RawData[State Support per FTE 2023]),"")</f>
        <v>15</v>
      </c>
      <c r="K11">
        <f>IF(COUNTBLANK(RawData[[#This Row],[Support Per $1,000 in Personal Income 2022]])=0,_xlfn.RANK.AVG(RawData[[#This Row],[Support Per $1,000 in Personal Income 2022]],RawData[Support Per $1,000 in Personal Income 2022]),"")</f>
        <v>14</v>
      </c>
      <c r="L11">
        <f>IF(COUNTBLANK(RawData[[#This Row],[ CUNY_ASAP]])=0,_xlfn.RANK.AVG(RawData[[#This Row],[ CUNY_ASAP]],RawData[ CUNY_ASAP]),"")</f>
        <v>49</v>
      </c>
      <c r="M11">
        <f>IF(COUNTBLANK(RawData[[#This Row],[Total State financial aid spending per high school graduate ]])=0,_xlfn.RANK.AVG(RawData[[#This Row],[Total State financial aid spending per high school graduate ]],RawData[[Total State financial aid spending per high school graduate ]]),"")</f>
        <v>5</v>
      </c>
      <c r="N11" s="31"/>
      <c r="O11">
        <f t="shared" si="0"/>
        <v>35.5</v>
      </c>
      <c r="P11">
        <f t="shared" si="1"/>
        <v>23</v>
      </c>
      <c r="Q11" s="31"/>
      <c r="R11">
        <f t="shared" si="2"/>
        <v>29.25</v>
      </c>
      <c r="S11">
        <f t="shared" si="3"/>
        <v>14</v>
      </c>
      <c r="T11" s="31"/>
      <c r="U11">
        <f>IF(A11='State Detail'!BM$7,1,0)</f>
        <v>0</v>
      </c>
      <c r="V11" s="24" t="e">
        <f t="shared" si="4"/>
        <v>#N/A</v>
      </c>
      <c r="W11" s="24" t="e">
        <f t="shared" si="5"/>
        <v>#N/A</v>
      </c>
      <c r="X11" s="31"/>
      <c r="Y11">
        <f>IF(COUNTBLANK(RawData[[#This Row],[General Public Operations]])=0,_xlfn.RANK.AVG(RawData[[#This Row],[General Public Operations]],RawData[General Public Operations]),"")</f>
        <v>7</v>
      </c>
      <c r="Z11">
        <f>IF(COUNTBLANK(RawData[[#This Row],[10 Year Percentage Change in State Support per FTE]])=0,_xlfn.RANK.AVG(RawData[[#This Row],[10 Year Percentage Change in State Support per FTE]],RawData[10 Year Percentage Change in State Support per FTE]),"")</f>
        <v>19</v>
      </c>
      <c r="AA11">
        <f>IF(COUNTBLANK(RawData[[#This Row],[Support Per $1,000 in Personal Income Percent Change since 2012]])=0,_xlfn.RANK.AVG(RawData[[#This Row],[Support Per $1,000 in Personal Income Percent Change since 2012]],RawData[Support Per $1,000 in Personal Income Percent Change since 2012]),"")</f>
        <v>13</v>
      </c>
    </row>
    <row r="12" spans="1:27" x14ac:dyDescent="0.35">
      <c r="A12" s="29" t="s">
        <v>81</v>
      </c>
      <c r="B12" s="30" t="s">
        <v>82</v>
      </c>
      <c r="C12">
        <f>IF(COUNTBLANK(RawData[[#This Row],[Need-based aid (2023)]])=0,_xlfn.RANK.AVG(RawData[[#This Row],[Need-based aid (2023)]],RawData[Need-based aid (2023)]),"")</f>
        <v>44</v>
      </c>
      <c r="D12" t="str">
        <f>IF(COUNTBLANK(RawData[[#This Row],[Non-need based aid (2023)]])=0,_xlfn.RANK.AVG(RawData[[#This Row],[Non-need based aid (2023)]],RawData[Non-need based aid (2023)]),"")</f>
        <v/>
      </c>
      <c r="E12">
        <f>IF(COUNTBLANK(RawData[[#This Row],[Non-grant aid (2023)]])=0,_xlfn.RANK.AVG(RawData[[#This Row],[Non-grant aid (2023)]],RawData[Non-grant aid (2023)]),"")</f>
        <v>39</v>
      </c>
      <c r="F12">
        <f>IF(COUNTBLANK(RawData[[#This Row],[Total State Aid]])=0,_xlfn.RANK.AVG(RawData[[#This Row],[Total State Aid]],RawData[Total State Aid]),"")</f>
        <v>47</v>
      </c>
      <c r="G12">
        <f>IF(COUNTBLANK(RawData[[#This Row],[Total State and Local Support Excluding Federal Stimulus 2023]])=0,_xlfn.RANK.AVG(RawData[[#This Row],[Total State and Local Support Excluding Federal Stimulus 2023]],RawData[Total State and Local Support Excluding Federal Stimulus 2023]),"")</f>
        <v>37</v>
      </c>
      <c r="H12">
        <f>IF(COUNTBLANK(RawData[[#This Row],[Gross FTE Enrollment 2023]])=0,_xlfn.RANK.AVG(RawData[[#This Row],[Gross FTE Enrollment 2023]],RawData[Gross FTE Enrollment 2023]),"")</f>
        <v>43</v>
      </c>
      <c r="I12">
        <f>IF(COUNTBLANK(RawData[[#This Row],[Public high school graduates, 2022-23]])=0,_xlfn.RANK.AVG(RawData[[#This Row],[Public high school graduates, 2022-23]],RawData[Public high school graduates, 2022-23]),"")</f>
        <v>42</v>
      </c>
      <c r="J12">
        <f>IF(COUNTBLANK(RawData[[#This Row],[State Support per FTE 2023]])=0,_xlfn.RANK.AVG(RawData[[#This Row],[State Support per FTE 2023]],RawData[State Support per FTE 2023]),"")</f>
        <v>2</v>
      </c>
      <c r="K12">
        <f>IF(COUNTBLANK(RawData[[#This Row],[Support Per $1,000 in Personal Income 2022]])=0,_xlfn.RANK.AVG(RawData[[#This Row],[Support Per $1,000 in Personal Income 2022]],RawData[Support Per $1,000 in Personal Income 2022]),"")</f>
        <v>4</v>
      </c>
      <c r="L12">
        <f>IF(COUNTBLANK(RawData[[#This Row],[ CUNY_ASAP]])=0,_xlfn.RANK.AVG(RawData[[#This Row],[ CUNY_ASAP]],RawData[ CUNY_ASAP]),"")</f>
        <v>9</v>
      </c>
      <c r="M12">
        <f>IF(COUNTBLANK(RawData[[#This Row],[Total State financial aid spending per high school graduate ]])=0,_xlfn.RANK.AVG(RawData[[#This Row],[Total State financial aid spending per high school graduate ]],RawData[[Total State financial aid spending per high school graduate ]]),"")</f>
        <v>47</v>
      </c>
      <c r="N12" s="31"/>
      <c r="O12">
        <f t="shared" si="0"/>
        <v>47</v>
      </c>
      <c r="P12">
        <f t="shared" si="1"/>
        <v>22</v>
      </c>
      <c r="Q12" s="31"/>
      <c r="R12">
        <f t="shared" si="2"/>
        <v>34.5</v>
      </c>
      <c r="S12">
        <f t="shared" si="3"/>
        <v>6</v>
      </c>
      <c r="T12" s="31"/>
      <c r="U12">
        <f>IF(A12='State Detail'!BM$7,1,0)</f>
        <v>0</v>
      </c>
      <c r="V12" s="24" t="e">
        <f t="shared" si="4"/>
        <v>#N/A</v>
      </c>
      <c r="W12" s="24" t="e">
        <f t="shared" si="5"/>
        <v>#N/A</v>
      </c>
      <c r="X12" s="31"/>
      <c r="Y12">
        <f>IF(COUNTBLANK(RawData[[#This Row],[General Public Operations]])=0,_xlfn.RANK.AVG(RawData[[#This Row],[General Public Operations]],RawData[General Public Operations]),"")</f>
        <v>37</v>
      </c>
      <c r="Z12">
        <f>IF(COUNTBLANK(RawData[[#This Row],[10 Year Percentage Change in State Support per FTE]])=0,_xlfn.RANK.AVG(RawData[[#This Row],[10 Year Percentage Change in State Support per FTE]],RawData[10 Year Percentage Change in State Support per FTE]),"")</f>
        <v>7</v>
      </c>
      <c r="AA12">
        <f>IF(COUNTBLANK(RawData[[#This Row],[Support Per $1,000 in Personal Income Percent Change since 2012]])=0,_xlfn.RANK.AVG(RawData[[#This Row],[Support Per $1,000 in Personal Income Percent Change since 2012]],RawData[Support Per $1,000 in Personal Income Percent Change since 2012]),"")</f>
        <v>10</v>
      </c>
    </row>
    <row r="13" spans="1:27" x14ac:dyDescent="0.35">
      <c r="A13" s="29" t="s">
        <v>83</v>
      </c>
      <c r="B13" s="30" t="s">
        <v>84</v>
      </c>
      <c r="C13">
        <f>IF(COUNTBLANK(RawData[[#This Row],[Need-based aid (2023)]])=0,_xlfn.RANK.AVG(RawData[[#This Row],[Need-based aid (2023)]],RawData[Need-based aid (2023)]),"")</f>
        <v>37</v>
      </c>
      <c r="D13">
        <f>IF(COUNTBLANK(RawData[[#This Row],[Non-need based aid (2023)]])=0,_xlfn.RANK.AVG(RawData[[#This Row],[Non-need based aid (2023)]],RawData[Non-need based aid (2023)]),"")</f>
        <v>41</v>
      </c>
      <c r="E13">
        <f>IF(COUNTBLANK(RawData[[#This Row],[Non-grant aid (2023)]])=0,_xlfn.RANK.AVG(RawData[[#This Row],[Non-grant aid (2023)]],RawData[Non-grant aid (2023)]),"")</f>
        <v>32</v>
      </c>
      <c r="F13">
        <f>IF(COUNTBLANK(RawData[[#This Row],[Total State Aid]])=0,_xlfn.RANK.AVG(RawData[[#This Row],[Total State Aid]],RawData[Total State Aid]),"")</f>
        <v>42</v>
      </c>
      <c r="G13">
        <f>IF(COUNTBLANK(RawData[[#This Row],[Total State and Local Support Excluding Federal Stimulus 2023]])=0,_xlfn.RANK.AVG(RawData[[#This Row],[Total State and Local Support Excluding Federal Stimulus 2023]],RawData[Total State and Local Support Excluding Federal Stimulus 2023]),"")</f>
        <v>39</v>
      </c>
      <c r="H13">
        <f>IF(COUNTBLANK(RawData[[#This Row],[Gross FTE Enrollment 2023]])=0,_xlfn.RANK.AVG(RawData[[#This Row],[Gross FTE Enrollment 2023]],RawData[Gross FTE Enrollment 2023]),"")</f>
        <v>39</v>
      </c>
      <c r="I13">
        <f>IF(COUNTBLANK(RawData[[#This Row],[Public high school graduates, 2022-23]])=0,_xlfn.RANK.AVG(RawData[[#This Row],[Public high school graduates, 2022-23]],RawData[Public high school graduates, 2022-23]),"")</f>
        <v>37</v>
      </c>
      <c r="J13">
        <f>IF(COUNTBLANK(RawData[[#This Row],[State Support per FTE 2023]])=0,_xlfn.RANK.AVG(RawData[[#This Row],[State Support per FTE 2023]],RawData[State Support per FTE 2023]),"")</f>
        <v>20</v>
      </c>
      <c r="K13">
        <f>IF(COUNTBLANK(RawData[[#This Row],[Support Per $1,000 in Personal Income 2022]])=0,_xlfn.RANK.AVG(RawData[[#This Row],[Support Per $1,000 in Personal Income 2022]],RawData[Support Per $1,000 in Personal Income 2022]),"")</f>
        <v>20</v>
      </c>
      <c r="L13">
        <f>IF(COUNTBLANK(RawData[[#This Row],[ CUNY_ASAP]])=0,_xlfn.RANK.AVG(RawData[[#This Row],[ CUNY_ASAP]],RawData[ CUNY_ASAP]),"")</f>
        <v>10</v>
      </c>
      <c r="M13">
        <f>IF(COUNTBLANK(RawData[[#This Row],[Total State financial aid spending per high school graduate ]])=0,_xlfn.RANK.AVG(RawData[[#This Row],[Total State financial aid spending per high school graduate ]],RawData[[Total State financial aid spending per high school graduate ]]),"")</f>
        <v>43</v>
      </c>
      <c r="N13" s="31"/>
      <c r="O13">
        <f t="shared" si="0"/>
        <v>30</v>
      </c>
      <c r="P13">
        <f t="shared" si="1"/>
        <v>23.5</v>
      </c>
      <c r="Q13" s="31"/>
      <c r="R13">
        <f t="shared" si="2"/>
        <v>26.75</v>
      </c>
      <c r="S13">
        <f t="shared" si="3"/>
        <v>21</v>
      </c>
      <c r="T13" s="31"/>
      <c r="U13">
        <f>IF(A13='State Detail'!BM$7,1,0)</f>
        <v>0</v>
      </c>
      <c r="V13" s="24" t="e">
        <f t="shared" si="4"/>
        <v>#N/A</v>
      </c>
      <c r="W13" s="24" t="e">
        <f t="shared" si="5"/>
        <v>#N/A</v>
      </c>
      <c r="X13" s="31"/>
      <c r="Y13">
        <f>IF(COUNTBLANK(RawData[[#This Row],[General Public Operations]])=0,_xlfn.RANK.AVG(RawData[[#This Row],[General Public Operations]],RawData[General Public Operations]),"")</f>
        <v>39</v>
      </c>
      <c r="Z13">
        <f>IF(COUNTBLANK(RawData[[#This Row],[10 Year Percentage Change in State Support per FTE]])=0,_xlfn.RANK.AVG(RawData[[#This Row],[10 Year Percentage Change in State Support per FTE]],RawData[10 Year Percentage Change in State Support per FTE]),"")</f>
        <v>20</v>
      </c>
      <c r="AA13">
        <f>IF(COUNTBLANK(RawData[[#This Row],[Support Per $1,000 in Personal Income Percent Change since 2012]])=0,_xlfn.RANK.AVG(RawData[[#This Row],[Support Per $1,000 in Personal Income Percent Change since 2012]],RawData[Support Per $1,000 in Personal Income Percent Change since 2012]),"")</f>
        <v>24</v>
      </c>
    </row>
    <row r="14" spans="1:27" x14ac:dyDescent="0.35">
      <c r="A14" s="29" t="s">
        <v>85</v>
      </c>
      <c r="B14" s="30" t="s">
        <v>86</v>
      </c>
      <c r="C14">
        <f>IF(COUNTBLANK(RawData[[#This Row],[Need-based aid (2023)]])=0,_xlfn.RANK.AVG(RawData[[#This Row],[Need-based aid (2023)]],RawData[Need-based aid (2023)]),"")</f>
        <v>5</v>
      </c>
      <c r="D14">
        <f>IF(COUNTBLANK(RawData[[#This Row],[Non-need based aid (2023)]])=0,_xlfn.RANK.AVG(RawData[[#This Row],[Non-need based aid (2023)]],RawData[Non-need based aid (2023)]),"")</f>
        <v>39</v>
      </c>
      <c r="E14">
        <f>IF(COUNTBLANK(RawData[[#This Row],[Non-grant aid (2023)]])=0,_xlfn.RANK.AVG(RawData[[#This Row],[Non-grant aid (2023)]],RawData[Non-grant aid (2023)]),"")</f>
        <v>22</v>
      </c>
      <c r="F14">
        <f>IF(COUNTBLANK(RawData[[#This Row],[Total State Aid]])=0,_xlfn.RANK.AVG(RawData[[#This Row],[Total State Aid]],RawData[Total State Aid]),"")</f>
        <v>7</v>
      </c>
      <c r="G14">
        <f>IF(COUNTBLANK(RawData[[#This Row],[Total State and Local Support Excluding Federal Stimulus 2023]])=0,_xlfn.RANK.AVG(RawData[[#This Row],[Total State and Local Support Excluding Federal Stimulus 2023]],RawData[Total State and Local Support Excluding Federal Stimulus 2023]),"")</f>
        <v>4</v>
      </c>
      <c r="H14">
        <f>IF(COUNTBLANK(RawData[[#This Row],[Gross FTE Enrollment 2023]])=0,_xlfn.RANK.AVG(RawData[[#This Row],[Gross FTE Enrollment 2023]],RawData[Gross FTE Enrollment 2023]),"")</f>
        <v>12</v>
      </c>
      <c r="I14">
        <f>IF(COUNTBLANK(RawData[[#This Row],[Public high school graduates, 2022-23]])=0,_xlfn.RANK.AVG(RawData[[#This Row],[Public high school graduates, 2022-23]],RawData[Public high school graduates, 2022-23]),"")</f>
        <v>5</v>
      </c>
      <c r="J14">
        <f>IF(COUNTBLANK(RawData[[#This Row],[State Support per FTE 2023]])=0,_xlfn.RANK.AVG(RawData[[#This Row],[State Support per FTE 2023]],RawData[State Support per FTE 2023]),"")</f>
        <v>3</v>
      </c>
      <c r="K14">
        <f>IF(COUNTBLANK(RawData[[#This Row],[Support Per $1,000 in Personal Income 2022]])=0,_xlfn.RANK.AVG(RawData[[#This Row],[Support Per $1,000 in Personal Income 2022]],RawData[Support Per $1,000 in Personal Income 2022]),"")</f>
        <v>10</v>
      </c>
      <c r="L14">
        <f>IF(COUNTBLANK(RawData[[#This Row],[ CUNY_ASAP]])=0,_xlfn.RANK.AVG(RawData[[#This Row],[ CUNY_ASAP]],RawData[ CUNY_ASAP]),"")</f>
        <v>5</v>
      </c>
      <c r="M14">
        <f>IF(COUNTBLANK(RawData[[#This Row],[Total State financial aid spending per high school graduate ]])=0,_xlfn.RANK.AVG(RawData[[#This Row],[Total State financial aid spending per high school graduate ]],RawData[[Total State financial aid spending per high school graduate ]]),"")</f>
        <v>19</v>
      </c>
      <c r="N14" s="31"/>
      <c r="O14">
        <f t="shared" si="0"/>
        <v>43.5</v>
      </c>
      <c r="P14">
        <f t="shared" si="1"/>
        <v>38</v>
      </c>
      <c r="Q14" s="31"/>
      <c r="R14">
        <f t="shared" si="2"/>
        <v>40.75</v>
      </c>
      <c r="S14">
        <f t="shared" si="3"/>
        <v>2</v>
      </c>
      <c r="T14" s="31"/>
      <c r="U14">
        <f>IF(A14='State Detail'!BM$7,1,0)</f>
        <v>0</v>
      </c>
      <c r="V14" s="24" t="e">
        <f t="shared" si="4"/>
        <v>#N/A</v>
      </c>
      <c r="W14" s="24" t="e">
        <f t="shared" si="5"/>
        <v>#N/A</v>
      </c>
      <c r="X14" s="31"/>
      <c r="Y14">
        <f>IF(COUNTBLANK(RawData[[#This Row],[General Public Operations]])=0,_xlfn.RANK.AVG(RawData[[#This Row],[General Public Operations]],RawData[General Public Operations]),"")</f>
        <v>4</v>
      </c>
      <c r="Z14">
        <f>IF(COUNTBLANK(RawData[[#This Row],[10 Year Percentage Change in State Support per FTE]])=0,_xlfn.RANK.AVG(RawData[[#This Row],[10 Year Percentage Change in State Support per FTE]],RawData[10 Year Percentage Change in State Support per FTE]),"")</f>
        <v>22</v>
      </c>
      <c r="AA14">
        <f>IF(COUNTBLANK(RawData[[#This Row],[Support Per $1,000 in Personal Income Percent Change since 2012]])=0,_xlfn.RANK.AVG(RawData[[#This Row],[Support Per $1,000 in Personal Income Percent Change since 2012]],RawData[Support Per $1,000 in Personal Income Percent Change since 2012]),"")</f>
        <v>22</v>
      </c>
    </row>
    <row r="15" spans="1:27" x14ac:dyDescent="0.35">
      <c r="A15" s="29" t="s">
        <v>87</v>
      </c>
      <c r="B15" s="30" t="s">
        <v>88</v>
      </c>
      <c r="C15">
        <f>IF(COUNTBLANK(RawData[[#This Row],[Need-based aid (2023)]])=0,_xlfn.RANK.AVG(RawData[[#This Row],[Need-based aid (2023)]],RawData[Need-based aid (2023)]),"")</f>
        <v>10</v>
      </c>
      <c r="D15">
        <f>IF(COUNTBLANK(RawData[[#This Row],[Non-need based aid (2023)]])=0,_xlfn.RANK.AVG(RawData[[#This Row],[Non-need based aid (2023)]],RawData[Non-need based aid (2023)]),"")</f>
        <v>20</v>
      </c>
      <c r="E15">
        <f>IF(COUNTBLANK(RawData[[#This Row],[Non-grant aid (2023)]])=0,_xlfn.RANK.AVG(RawData[[#This Row],[Non-grant aid (2023)]],RawData[Non-grant aid (2023)]),"")</f>
        <v>10</v>
      </c>
      <c r="F15">
        <f>IF(COUNTBLANK(RawData[[#This Row],[Total State Aid]])=0,_xlfn.RANK.AVG(RawData[[#This Row],[Total State Aid]],RawData[Total State Aid]),"")</f>
        <v>15</v>
      </c>
      <c r="G15">
        <f>IF(COUNTBLANK(RawData[[#This Row],[Total State and Local Support Excluding Federal Stimulus 2023]])=0,_xlfn.RANK.AVG(RawData[[#This Row],[Total State and Local Support Excluding Federal Stimulus 2023]],RawData[Total State and Local Support Excluding Federal Stimulus 2023]),"")</f>
        <v>20</v>
      </c>
      <c r="H15">
        <f>IF(COUNTBLANK(RawData[[#This Row],[Gross FTE Enrollment 2023]])=0,_xlfn.RANK.AVG(RawData[[#This Row],[Gross FTE Enrollment 2023]],RawData[Gross FTE Enrollment 2023]),"")</f>
        <v>14</v>
      </c>
      <c r="I15">
        <f>IF(COUNTBLANK(RawData[[#This Row],[Public high school graduates, 2022-23]])=0,_xlfn.RANK.AVG(RawData[[#This Row],[Public high school graduates, 2022-23]],RawData[Public high school graduates, 2022-23]),"")</f>
        <v>14</v>
      </c>
      <c r="J15">
        <f>IF(COUNTBLANK(RawData[[#This Row],[State Support per FTE 2023]])=0,_xlfn.RANK.AVG(RawData[[#This Row],[State Support per FTE 2023]],RawData[State Support per FTE 2023]),"")</f>
        <v>44</v>
      </c>
      <c r="K15">
        <f>IF(COUNTBLANK(RawData[[#This Row],[Support Per $1,000 in Personal Income 2022]])=0,_xlfn.RANK.AVG(RawData[[#This Row],[Support Per $1,000 in Personal Income 2022]],RawData[Support Per $1,000 in Personal Income 2022]),"")</f>
        <v>29</v>
      </c>
      <c r="L15">
        <f>IF(COUNTBLANK(RawData[[#This Row],[ CUNY_ASAP]])=0,_xlfn.RANK.AVG(RawData[[#This Row],[ CUNY_ASAP]],RawData[ CUNY_ASAP]),"")</f>
        <v>17</v>
      </c>
      <c r="M15">
        <f>IF(COUNTBLANK(RawData[[#This Row],[Total State financial aid spending per high school graduate ]])=0,_xlfn.RANK.AVG(RawData[[#This Row],[Total State financial aid spending per high school graduate ]],RawData[[Total State financial aid spending per high school graduate ]]),"")</f>
        <v>18</v>
      </c>
      <c r="N15" s="31"/>
      <c r="O15">
        <f t="shared" si="0"/>
        <v>13.5</v>
      </c>
      <c r="P15">
        <f t="shared" si="1"/>
        <v>32.5</v>
      </c>
      <c r="Q15" s="31"/>
      <c r="R15">
        <f t="shared" si="2"/>
        <v>23</v>
      </c>
      <c r="S15">
        <f t="shared" si="3"/>
        <v>31</v>
      </c>
      <c r="T15" s="31"/>
      <c r="U15">
        <f>IF(A15='State Detail'!BM$7,1,0)</f>
        <v>0</v>
      </c>
      <c r="V15" s="24" t="e">
        <f t="shared" si="4"/>
        <v>#N/A</v>
      </c>
      <c r="W15" s="24" t="e">
        <f t="shared" si="5"/>
        <v>#N/A</v>
      </c>
      <c r="X15" s="31"/>
      <c r="Y15">
        <f>IF(COUNTBLANK(RawData[[#This Row],[General Public Operations]])=0,_xlfn.RANK.AVG(RawData[[#This Row],[General Public Operations]],RawData[General Public Operations]),"")</f>
        <v>22</v>
      </c>
      <c r="Z15">
        <f>IF(COUNTBLANK(RawData[[#This Row],[10 Year Percentage Change in State Support per FTE]])=0,_xlfn.RANK.AVG(RawData[[#This Row],[10 Year Percentage Change in State Support per FTE]],RawData[10 Year Percentage Change in State Support per FTE]),"")</f>
        <v>45</v>
      </c>
      <c r="AA15">
        <f>IF(COUNTBLANK(RawData[[#This Row],[Support Per $1,000 in Personal Income Percent Change since 2012]])=0,_xlfn.RANK.AVG(RawData[[#This Row],[Support Per $1,000 in Personal Income Percent Change since 2012]],RawData[Support Per $1,000 in Personal Income Percent Change since 2012]),"")</f>
        <v>37</v>
      </c>
    </row>
    <row r="16" spans="1:27" x14ac:dyDescent="0.35">
      <c r="A16" s="29" t="s">
        <v>90</v>
      </c>
      <c r="B16" s="30" t="s">
        <v>91</v>
      </c>
      <c r="C16">
        <f>IF(COUNTBLANK(RawData[[#This Row],[Need-based aid (2023)]])=0,_xlfn.RANK.AVG(RawData[[#This Row],[Need-based aid (2023)]],RawData[Need-based aid (2023)]),"")</f>
        <v>26</v>
      </c>
      <c r="D16">
        <f>IF(COUNTBLANK(RawData[[#This Row],[Non-need based aid (2023)]])=0,_xlfn.RANK.AVG(RawData[[#This Row],[Non-need based aid (2023)]],RawData[Non-need based aid (2023)]),"")</f>
        <v>15</v>
      </c>
      <c r="E16" t="str">
        <f>IF(COUNTBLANK(RawData[[#This Row],[Non-grant aid (2023)]])=0,_xlfn.RANK.AVG(RawData[[#This Row],[Non-grant aid (2023)]],RawData[Non-grant aid (2023)]),"")</f>
        <v/>
      </c>
      <c r="F16">
        <f>IF(COUNTBLANK(RawData[[#This Row],[Total State Aid]])=0,_xlfn.RANK.AVG(RawData[[#This Row],[Total State Aid]],RawData[Total State Aid]),"")</f>
        <v>31</v>
      </c>
      <c r="G16">
        <f>IF(COUNTBLANK(RawData[[#This Row],[Total State and Local Support Excluding Federal Stimulus 2023]])=0,_xlfn.RANK.AVG(RawData[[#This Row],[Total State and Local Support Excluding Federal Stimulus 2023]],RawData[Total State and Local Support Excluding Federal Stimulus 2023]),"")</f>
        <v>36</v>
      </c>
      <c r="H16">
        <f>IF(COUNTBLANK(RawData[[#This Row],[Gross FTE Enrollment 2023]])=0,_xlfn.RANK.AVG(RawData[[#This Row],[Gross FTE Enrollment 2023]],RawData[Gross FTE Enrollment 2023]),"")</f>
        <v>32</v>
      </c>
      <c r="I16">
        <f>IF(COUNTBLANK(RawData[[#This Row],[Public high school graduates, 2022-23]])=0,_xlfn.RANK.AVG(RawData[[#This Row],[Public high school graduates, 2022-23]],RawData[Public high school graduates, 2022-23]),"")</f>
        <v>31</v>
      </c>
      <c r="J16">
        <f>IF(COUNTBLANK(RawData[[#This Row],[State Support per FTE 2023]])=0,_xlfn.RANK.AVG(RawData[[#This Row],[State Support per FTE 2023]],RawData[State Support per FTE 2023]),"")</f>
        <v>42</v>
      </c>
      <c r="K16">
        <f>IF(COUNTBLANK(RawData[[#This Row],[Support Per $1,000 in Personal Income 2022]])=0,_xlfn.RANK.AVG(RawData[[#This Row],[Support Per $1,000 in Personal Income 2022]],RawData[Support Per $1,000 in Personal Income 2022]),"")</f>
        <v>30</v>
      </c>
      <c r="L16">
        <f>IF(COUNTBLANK(RawData[[#This Row],[ CUNY_ASAP]])=0,_xlfn.RANK.AVG(RawData[[#This Row],[ CUNY_ASAP]],RawData[ CUNY_ASAP]),"")</f>
        <v>28</v>
      </c>
      <c r="M16">
        <f>IF(COUNTBLANK(RawData[[#This Row],[Total State financial aid spending per high school graduate ]])=0,_xlfn.RANK.AVG(RawData[[#This Row],[Total State financial aid spending per high school graduate ]],RawData[[Total State financial aid spending per high school graduate ]]),"")</f>
        <v>28</v>
      </c>
      <c r="N16" s="31"/>
      <c r="O16">
        <f t="shared" si="0"/>
        <v>14</v>
      </c>
      <c r="P16">
        <f t="shared" si="1"/>
        <v>22</v>
      </c>
      <c r="Q16" s="31"/>
      <c r="R16">
        <f t="shared" si="2"/>
        <v>18</v>
      </c>
      <c r="S16">
        <f t="shared" si="3"/>
        <v>40</v>
      </c>
      <c r="T16" s="31"/>
      <c r="U16">
        <f>IF(A16='State Detail'!BM$7,1,0)</f>
        <v>0</v>
      </c>
      <c r="V16" s="24" t="e">
        <f t="shared" si="4"/>
        <v>#N/A</v>
      </c>
      <c r="W16" s="24" t="e">
        <f t="shared" si="5"/>
        <v>#N/A</v>
      </c>
      <c r="X16" s="31"/>
      <c r="Y16">
        <f>IF(COUNTBLANK(RawData[[#This Row],[General Public Operations]])=0,_xlfn.RANK.AVG(RawData[[#This Row],[General Public Operations]],RawData[General Public Operations]),"")</f>
        <v>38</v>
      </c>
      <c r="Z16">
        <f>IF(COUNTBLANK(RawData[[#This Row],[10 Year Percentage Change in State Support per FTE]])=0,_xlfn.RANK.AVG(RawData[[#This Row],[10 Year Percentage Change in State Support per FTE]],RawData[10 Year Percentage Change in State Support per FTE]),"")</f>
        <v>49</v>
      </c>
      <c r="AA16">
        <f>IF(COUNTBLANK(RawData[[#This Row],[Support Per $1,000 in Personal Income Percent Change since 2012]])=0,_xlfn.RANK.AVG(RawData[[#This Row],[Support Per $1,000 in Personal Income Percent Change since 2012]],RawData[Support Per $1,000 in Personal Income Percent Change since 2012]),"")</f>
        <v>41</v>
      </c>
    </row>
    <row r="17" spans="1:27" x14ac:dyDescent="0.35">
      <c r="A17" s="29" t="s">
        <v>92</v>
      </c>
      <c r="B17" s="30" t="s">
        <v>93</v>
      </c>
      <c r="C17">
        <f>IF(COUNTBLANK(RawData[[#This Row],[Need-based aid (2023)]])=0,_xlfn.RANK.AVG(RawData[[#This Row],[Need-based aid (2023)]],RawData[Need-based aid (2023)]),"")</f>
        <v>30</v>
      </c>
      <c r="D17">
        <f>IF(COUNTBLANK(RawData[[#This Row],[Non-need based aid (2023)]])=0,_xlfn.RANK.AVG(RawData[[#This Row],[Non-need based aid (2023)]],RawData[Non-need based aid (2023)]),"")</f>
        <v>44</v>
      </c>
      <c r="E17">
        <f>IF(COUNTBLANK(RawData[[#This Row],[Non-grant aid (2023)]])=0,_xlfn.RANK.AVG(RawData[[#This Row],[Non-grant aid (2023)]],RawData[Non-grant aid (2023)]),"")</f>
        <v>20</v>
      </c>
      <c r="F17">
        <f>IF(COUNTBLANK(RawData[[#This Row],[Total State Aid]])=0,_xlfn.RANK.AVG(RawData[[#This Row],[Total State Aid]],RawData[Total State Aid]),"")</f>
        <v>35</v>
      </c>
      <c r="G17">
        <f>IF(COUNTBLANK(RawData[[#This Row],[Total State and Local Support Excluding Federal Stimulus 2023]])=0,_xlfn.RANK.AVG(RawData[[#This Row],[Total State and Local Support Excluding Federal Stimulus 2023]],RawData[Total State and Local Support Excluding Federal Stimulus 2023]),"")</f>
        <v>31</v>
      </c>
      <c r="H17">
        <f>IF(COUNTBLANK(RawData[[#This Row],[Gross FTE Enrollment 2023]])=0,_xlfn.RANK.AVG(RawData[[#This Row],[Gross FTE Enrollment 2023]],RawData[Gross FTE Enrollment 2023]),"")</f>
        <v>30</v>
      </c>
      <c r="I17">
        <f>IF(COUNTBLANK(RawData[[#This Row],[Public high school graduates, 2022-23]])=0,_xlfn.RANK.AVG(RawData[[#This Row],[Public high school graduates, 2022-23]],RawData[Public high school graduates, 2022-23]),"")</f>
        <v>32</v>
      </c>
      <c r="J17">
        <f>IF(COUNTBLANK(RawData[[#This Row],[State Support per FTE 2023]])=0,_xlfn.RANK.AVG(RawData[[#This Row],[State Support per FTE 2023]],RawData[State Support per FTE 2023]),"")</f>
        <v>26</v>
      </c>
      <c r="K17">
        <f>IF(COUNTBLANK(RawData[[#This Row],[Support Per $1,000 in Personal Income 2022]])=0,_xlfn.RANK.AVG(RawData[[#This Row],[Support Per $1,000 in Personal Income 2022]],RawData[Support Per $1,000 in Personal Income 2022]),"")</f>
        <v>13</v>
      </c>
      <c r="L17">
        <f>IF(COUNTBLANK(RawData[[#This Row],[ CUNY_ASAP]])=0,_xlfn.RANK.AVG(RawData[[#This Row],[ CUNY_ASAP]],RawData[ CUNY_ASAP]),"")</f>
        <v>24</v>
      </c>
      <c r="M17">
        <f>IF(COUNTBLANK(RawData[[#This Row],[Total State financial aid spending per high school graduate ]])=0,_xlfn.RANK.AVG(RawData[[#This Row],[Total State financial aid spending per high school graduate ]],RawData[[Total State financial aid spending per high school graduate ]]),"")</f>
        <v>40</v>
      </c>
      <c r="N17" s="31"/>
      <c r="O17">
        <f t="shared" si="0"/>
        <v>30.5</v>
      </c>
      <c r="P17">
        <f t="shared" si="1"/>
        <v>18</v>
      </c>
      <c r="Q17" s="31"/>
      <c r="R17">
        <f t="shared" si="2"/>
        <v>24.25</v>
      </c>
      <c r="S17">
        <f t="shared" si="3"/>
        <v>25</v>
      </c>
      <c r="T17" s="31"/>
      <c r="U17">
        <f>IF(A17='State Detail'!BM$7,1,0)</f>
        <v>0</v>
      </c>
      <c r="V17" s="24" t="e">
        <f t="shared" si="4"/>
        <v>#N/A</v>
      </c>
      <c r="W17" s="24" t="e">
        <f t="shared" si="5"/>
        <v>#N/A</v>
      </c>
      <c r="X17" s="31"/>
      <c r="Y17">
        <f>IF(COUNTBLANK(RawData[[#This Row],[General Public Operations]])=0,_xlfn.RANK.AVG(RawData[[#This Row],[General Public Operations]],RawData[General Public Operations]),"")</f>
        <v>24</v>
      </c>
      <c r="Z17">
        <f>IF(COUNTBLANK(RawData[[#This Row],[10 Year Percentage Change in State Support per FTE]])=0,_xlfn.RANK.AVG(RawData[[#This Row],[10 Year Percentage Change in State Support per FTE]],RawData[10 Year Percentage Change in State Support per FTE]),"")</f>
        <v>26</v>
      </c>
      <c r="AA17">
        <f>IF(COUNTBLANK(RawData[[#This Row],[Support Per $1,000 in Personal Income Percent Change since 2012]])=0,_xlfn.RANK.AVG(RawData[[#This Row],[Support Per $1,000 in Personal Income Percent Change since 2012]],RawData[Support Per $1,000 in Personal Income Percent Change since 2012]),"")</f>
        <v>15</v>
      </c>
    </row>
    <row r="18" spans="1:27" x14ac:dyDescent="0.35">
      <c r="A18" s="29" t="s">
        <v>94</v>
      </c>
      <c r="B18" s="30" t="s">
        <v>95</v>
      </c>
      <c r="C18">
        <f>IF(COUNTBLANK(RawData[[#This Row],[Need-based aid (2023)]])=0,_xlfn.RANK.AVG(RawData[[#This Row],[Need-based aid (2023)]],RawData[Need-based aid (2023)]),"")</f>
        <v>13</v>
      </c>
      <c r="D18">
        <f>IF(COUNTBLANK(RawData[[#This Row],[Non-need based aid (2023)]])=0,_xlfn.RANK.AVG(RawData[[#This Row],[Non-need based aid (2023)]],RawData[Non-need based aid (2023)]),"")</f>
        <v>7</v>
      </c>
      <c r="E18">
        <f>IF(COUNTBLANK(RawData[[#This Row],[Non-grant aid (2023)]])=0,_xlfn.RANK.AVG(RawData[[#This Row],[Non-grant aid (2023)]],RawData[Non-grant aid (2023)]),"")</f>
        <v>35</v>
      </c>
      <c r="F18">
        <f>IF(COUNTBLANK(RawData[[#This Row],[Total State Aid]])=0,_xlfn.RANK.AVG(RawData[[#This Row],[Total State Aid]],RawData[Total State Aid]),"")</f>
        <v>13</v>
      </c>
      <c r="G18">
        <f>IF(COUNTBLANK(RawData[[#This Row],[Total State and Local Support Excluding Federal Stimulus 2023]])=0,_xlfn.RANK.AVG(RawData[[#This Row],[Total State and Local Support Excluding Federal Stimulus 2023]],RawData[Total State and Local Support Excluding Federal Stimulus 2023]),"")</f>
        <v>26</v>
      </c>
      <c r="H18">
        <f>IF(COUNTBLANK(RawData[[#This Row],[Gross FTE Enrollment 2023]])=0,_xlfn.RANK.AVG(RawData[[#This Row],[Gross FTE Enrollment 2023]],RawData[Gross FTE Enrollment 2023]),"")</f>
        <v>26</v>
      </c>
      <c r="I18">
        <f>IF(COUNTBLANK(RawData[[#This Row],[Public high school graduates, 2022-23]])=0,_xlfn.RANK.AVG(RawData[[#This Row],[Public high school graduates, 2022-23]],RawData[Public high school graduates, 2022-23]),"")</f>
        <v>25</v>
      </c>
      <c r="J18">
        <f>IF(COUNTBLANK(RawData[[#This Row],[State Support per FTE 2023]])=0,_xlfn.RANK.AVG(RawData[[#This Row],[State Support per FTE 2023]],RawData[State Support per FTE 2023]),"")</f>
        <v>27</v>
      </c>
      <c r="K18">
        <f>IF(COUNTBLANK(RawData[[#This Row],[Support Per $1,000 in Personal Income 2022]])=0,_xlfn.RANK.AVG(RawData[[#This Row],[Support Per $1,000 in Personal Income 2022]],RawData[Support Per $1,000 in Personal Income 2022]),"")</f>
        <v>21</v>
      </c>
      <c r="L18">
        <f>IF(COUNTBLANK(RawData[[#This Row],[ CUNY_ASAP]])=0,_xlfn.RANK.AVG(RawData[[#This Row],[ CUNY_ASAP]],RawData[ CUNY_ASAP]),"")</f>
        <v>32</v>
      </c>
      <c r="M18">
        <f>IF(COUNTBLANK(RawData[[#This Row],[Total State financial aid spending per high school graduate ]])=0,_xlfn.RANK.AVG(RawData[[#This Row],[Total State financial aid spending per high school graduate ]],RawData[[Total State financial aid spending per high school graduate ]]),"")</f>
        <v>7</v>
      </c>
      <c r="N18" s="31"/>
      <c r="O18">
        <f t="shared" si="0"/>
        <v>26</v>
      </c>
      <c r="P18">
        <f t="shared" si="1"/>
        <v>30.5</v>
      </c>
      <c r="Q18" s="31"/>
      <c r="R18">
        <f t="shared" si="2"/>
        <v>28.25</v>
      </c>
      <c r="S18">
        <f t="shared" si="3"/>
        <v>17</v>
      </c>
      <c r="T18" s="31"/>
      <c r="U18">
        <f>IF(A18='State Detail'!BM$7,1,0)</f>
        <v>1</v>
      </c>
      <c r="V18" s="24">
        <f t="shared" si="4"/>
        <v>26</v>
      </c>
      <c r="W18" s="24">
        <f t="shared" si="5"/>
        <v>30.5</v>
      </c>
      <c r="X18" s="31"/>
      <c r="Y18">
        <f>IF(COUNTBLANK(RawData[[#This Row],[General Public Operations]])=0,_xlfn.RANK.AVG(RawData[[#This Row],[General Public Operations]],RawData[General Public Operations]),"")</f>
        <v>31</v>
      </c>
      <c r="Z18">
        <f>IF(COUNTBLANK(RawData[[#This Row],[10 Year Percentage Change in State Support per FTE]])=0,_xlfn.RANK.AVG(RawData[[#This Row],[10 Year Percentage Change in State Support per FTE]],RawData[10 Year Percentage Change in State Support per FTE]),"")</f>
        <v>34</v>
      </c>
      <c r="AA18">
        <f>IF(COUNTBLANK(RawData[[#This Row],[Support Per $1,000 in Personal Income Percent Change since 2012]])=0,_xlfn.RANK.AVG(RawData[[#This Row],[Support Per $1,000 in Personal Income Percent Change since 2012]],RawData[Support Per $1,000 in Personal Income Percent Change since 2012]),"")</f>
        <v>48</v>
      </c>
    </row>
    <row r="19" spans="1:27" x14ac:dyDescent="0.35">
      <c r="A19" s="29" t="s">
        <v>96</v>
      </c>
      <c r="B19" s="30" t="s">
        <v>97</v>
      </c>
      <c r="C19">
        <f>IF(COUNTBLANK(RawData[[#This Row],[Need-based aid (2023)]])=0,_xlfn.RANK.AVG(RawData[[#This Row],[Need-based aid (2023)]],RawData[Need-based aid (2023)]),"")</f>
        <v>27</v>
      </c>
      <c r="D19">
        <f>IF(COUNTBLANK(RawData[[#This Row],[Non-need based aid (2023)]])=0,_xlfn.RANK.AVG(RawData[[#This Row],[Non-need based aid (2023)]],RawData[Non-need based aid (2023)]),"")</f>
        <v>5</v>
      </c>
      <c r="E19">
        <f>IF(COUNTBLANK(RawData[[#This Row],[Non-grant aid (2023)]])=0,_xlfn.RANK.AVG(RawData[[#This Row],[Non-grant aid (2023)]],RawData[Non-grant aid (2023)]),"")</f>
        <v>36</v>
      </c>
      <c r="F19">
        <f>IF(COUNTBLANK(RawData[[#This Row],[Total State Aid]])=0,_xlfn.RANK.AVG(RawData[[#This Row],[Total State Aid]],RawData[Total State Aid]),"")</f>
        <v>14</v>
      </c>
      <c r="G19">
        <f>IF(COUNTBLANK(RawData[[#This Row],[Total State and Local Support Excluding Federal Stimulus 2023]])=0,_xlfn.RANK.AVG(RawData[[#This Row],[Total State and Local Support Excluding Federal Stimulus 2023]],RawData[Total State and Local Support Excluding Federal Stimulus 2023]),"")</f>
        <v>27</v>
      </c>
      <c r="H19">
        <f>IF(COUNTBLANK(RawData[[#This Row],[Gross FTE Enrollment 2023]])=0,_xlfn.RANK.AVG(RawData[[#This Row],[Gross FTE Enrollment 2023]],RawData[Gross FTE Enrollment 2023]),"")</f>
        <v>22</v>
      </c>
      <c r="I19">
        <f>IF(COUNTBLANK(RawData[[#This Row],[Public high school graduates, 2022-23]])=0,_xlfn.RANK.AVG(RawData[[#This Row],[Public high school graduates, 2022-23]],RawData[Public high school graduates, 2022-23]),"")</f>
        <v>28</v>
      </c>
      <c r="J19">
        <f>IF(COUNTBLANK(RawData[[#This Row],[State Support per FTE 2023]])=0,_xlfn.RANK.AVG(RawData[[#This Row],[State Support per FTE 2023]],RawData[State Support per FTE 2023]),"")</f>
        <v>38</v>
      </c>
      <c r="K19">
        <f>IF(COUNTBLANK(RawData[[#This Row],[Support Per $1,000 in Personal Income 2022]])=0,_xlfn.RANK.AVG(RawData[[#This Row],[Support Per $1,000 in Personal Income 2022]],RawData[Support Per $1,000 in Personal Income 2022]),"")</f>
        <v>24</v>
      </c>
      <c r="L19">
        <f>IF(COUNTBLANK(RawData[[#This Row],[ CUNY_ASAP]])=0,_xlfn.RANK.AVG(RawData[[#This Row],[ CUNY_ASAP]],RawData[ CUNY_ASAP]),"")</f>
        <v>46</v>
      </c>
      <c r="M19">
        <f>IF(COUNTBLANK(RawData[[#This Row],[Total State financial aid spending per high school graduate ]])=0,_xlfn.RANK.AVG(RawData[[#This Row],[Total State financial aid spending per high school graduate ]],RawData[[Total State financial aid spending per high school graduate ]]),"")</f>
        <v>6</v>
      </c>
      <c r="N19" s="31"/>
      <c r="O19">
        <f t="shared" si="0"/>
        <v>19</v>
      </c>
      <c r="P19">
        <f t="shared" si="1"/>
        <v>24</v>
      </c>
      <c r="Q19" s="31"/>
      <c r="R19">
        <f t="shared" si="2"/>
        <v>21.5</v>
      </c>
      <c r="S19">
        <f t="shared" si="3"/>
        <v>32</v>
      </c>
      <c r="T19" s="31"/>
      <c r="U19">
        <f>IF(A19='State Detail'!BM$7,1,0)</f>
        <v>0</v>
      </c>
      <c r="V19" s="24" t="e">
        <f t="shared" si="4"/>
        <v>#N/A</v>
      </c>
      <c r="W19" s="24" t="e">
        <f t="shared" si="5"/>
        <v>#N/A</v>
      </c>
      <c r="X19" s="31"/>
      <c r="Y19">
        <f>IF(COUNTBLANK(RawData[[#This Row],[General Public Operations]])=0,_xlfn.RANK.AVG(RawData[[#This Row],[General Public Operations]],RawData[General Public Operations]),"")</f>
        <v>30</v>
      </c>
      <c r="Z19">
        <f>IF(COUNTBLANK(RawData[[#This Row],[10 Year Percentage Change in State Support per FTE]])=0,_xlfn.RANK.AVG(RawData[[#This Row],[10 Year Percentage Change in State Support per FTE]],RawData[10 Year Percentage Change in State Support per FTE]),"")</f>
        <v>36</v>
      </c>
      <c r="AA19">
        <f>IF(COUNTBLANK(RawData[[#This Row],[Support Per $1,000 in Personal Income Percent Change since 2012]])=0,_xlfn.RANK.AVG(RawData[[#This Row],[Support Per $1,000 in Personal Income Percent Change since 2012]],RawData[Support Per $1,000 in Personal Income Percent Change since 2012]),"")</f>
        <v>36</v>
      </c>
    </row>
    <row r="20" spans="1:27" x14ac:dyDescent="0.35">
      <c r="A20" s="29" t="s">
        <v>98</v>
      </c>
      <c r="B20" s="30" t="s">
        <v>99</v>
      </c>
      <c r="C20">
        <f>IF(COUNTBLANK(RawData[[#This Row],[Need-based aid (2023)]])=0,_xlfn.RANK.AVG(RawData[[#This Row],[Need-based aid (2023)]],RawData[Need-based aid (2023)]),"")</f>
        <v>34</v>
      </c>
      <c r="D20">
        <f>IF(COUNTBLANK(RawData[[#This Row],[Non-need based aid (2023)]])=0,_xlfn.RANK.AVG(RawData[[#This Row],[Non-need based aid (2023)]],RawData[Non-need based aid (2023)]),"")</f>
        <v>40</v>
      </c>
      <c r="E20">
        <f>IF(COUNTBLANK(RawData[[#This Row],[Non-grant aid (2023)]])=0,_xlfn.RANK.AVG(RawData[[#This Row],[Non-grant aid (2023)]],RawData[Non-grant aid (2023)]),"")</f>
        <v>30</v>
      </c>
      <c r="F20">
        <f>IF(COUNTBLANK(RawData[[#This Row],[Total State Aid]])=0,_xlfn.RANK.AVG(RawData[[#This Row],[Total State Aid]],RawData[Total State Aid]),"")</f>
        <v>40</v>
      </c>
      <c r="G20">
        <f>IF(COUNTBLANK(RawData[[#This Row],[Total State and Local Support Excluding Federal Stimulus 2023]])=0,_xlfn.RANK.AVG(RawData[[#This Row],[Total State and Local Support Excluding Federal Stimulus 2023]],RawData[Total State and Local Support Excluding Federal Stimulus 2023]),"")</f>
        <v>43</v>
      </c>
      <c r="H20">
        <f>IF(COUNTBLANK(RawData[[#This Row],[Gross FTE Enrollment 2023]])=0,_xlfn.RANK.AVG(RawData[[#This Row],[Gross FTE Enrollment 2023]],RawData[Gross FTE Enrollment 2023]),"")</f>
        <v>44</v>
      </c>
      <c r="I20">
        <f>IF(COUNTBLANK(RawData[[#This Row],[Public high school graduates, 2022-23]])=0,_xlfn.RANK.AVG(RawData[[#This Row],[Public high school graduates, 2022-23]],RawData[Public high school graduates, 2022-23]),"")</f>
        <v>40</v>
      </c>
      <c r="J20">
        <f>IF(COUNTBLANK(RawData[[#This Row],[State Support per FTE 2023]])=0,_xlfn.RANK.AVG(RawData[[#This Row],[State Support per FTE 2023]],RawData[State Support per FTE 2023]),"")</f>
        <v>19</v>
      </c>
      <c r="K20">
        <f>IF(COUNTBLANK(RawData[[#This Row],[Support Per $1,000 in Personal Income 2022]])=0,_xlfn.RANK.AVG(RawData[[#This Row],[Support Per $1,000 in Personal Income 2022]],RawData[Support Per $1,000 in Personal Income 2022]),"")</f>
        <v>40</v>
      </c>
      <c r="L20">
        <f>IF(COUNTBLANK(RawData[[#This Row],[ CUNY_ASAP]])=0,_xlfn.RANK.AVG(RawData[[#This Row],[ CUNY_ASAP]],RawData[ CUNY_ASAP]),"")</f>
        <v>11</v>
      </c>
      <c r="M20">
        <f>IF(COUNTBLANK(RawData[[#This Row],[Total State financial aid spending per high school graduate ]])=0,_xlfn.RANK.AVG(RawData[[#This Row],[Total State financial aid spending per high school graduate ]],RawData[[Total State financial aid spending per high school graduate ]]),"")</f>
        <v>34</v>
      </c>
      <c r="N20" s="31"/>
      <c r="O20">
        <f t="shared" si="0"/>
        <v>20.5</v>
      </c>
      <c r="P20">
        <f t="shared" si="1"/>
        <v>27.5</v>
      </c>
      <c r="Q20" s="31"/>
      <c r="R20">
        <f t="shared" si="2"/>
        <v>24</v>
      </c>
      <c r="S20">
        <f t="shared" si="3"/>
        <v>28</v>
      </c>
      <c r="T20" s="31"/>
      <c r="U20">
        <f>IF(A20='State Detail'!BM$7,1,0)</f>
        <v>0</v>
      </c>
      <c r="V20" s="24" t="e">
        <f t="shared" si="4"/>
        <v>#N/A</v>
      </c>
      <c r="W20" s="24" t="e">
        <f t="shared" si="5"/>
        <v>#N/A</v>
      </c>
      <c r="X20" s="31"/>
      <c r="Y20">
        <f>IF(COUNTBLANK(RawData[[#This Row],[General Public Operations]])=0,_xlfn.RANK.AVG(RawData[[#This Row],[General Public Operations]],RawData[General Public Operations]),"")</f>
        <v>42</v>
      </c>
      <c r="Z20">
        <f>IF(COUNTBLANK(RawData[[#This Row],[10 Year Percentage Change in State Support per FTE]])=0,_xlfn.RANK.AVG(RawData[[#This Row],[10 Year Percentage Change in State Support per FTE]],RawData[10 Year Percentage Change in State Support per FTE]),"")</f>
        <v>24</v>
      </c>
      <c r="AA20">
        <f>IF(COUNTBLANK(RawData[[#This Row],[Support Per $1,000 in Personal Income Percent Change since 2012]])=0,_xlfn.RANK.AVG(RawData[[#This Row],[Support Per $1,000 in Personal Income Percent Change since 2012]],RawData[Support Per $1,000 in Personal Income Percent Change since 2012]),"")</f>
        <v>34</v>
      </c>
    </row>
    <row r="21" spans="1:27" x14ac:dyDescent="0.35">
      <c r="A21" s="29" t="s">
        <v>100</v>
      </c>
      <c r="B21" s="30" t="s">
        <v>101</v>
      </c>
      <c r="C21">
        <f>IF(COUNTBLANK(RawData[[#This Row],[Need-based aid (2023)]])=0,_xlfn.RANK.AVG(RawData[[#This Row],[Need-based aid (2023)]],RawData[Need-based aid (2023)]),"")</f>
        <v>19</v>
      </c>
      <c r="D21">
        <f>IF(COUNTBLANK(RawData[[#This Row],[Non-need based aid (2023)]])=0,_xlfn.RANK.AVG(RawData[[#This Row],[Non-need based aid (2023)]],RawData[Non-need based aid (2023)]),"")</f>
        <v>33</v>
      </c>
      <c r="E21">
        <f>IF(COUNTBLANK(RawData[[#This Row],[Non-grant aid (2023)]])=0,_xlfn.RANK.AVG(RawData[[#This Row],[Non-grant aid (2023)]],RawData[Non-grant aid (2023)]),"")</f>
        <v>37</v>
      </c>
      <c r="F21">
        <f>IF(COUNTBLANK(RawData[[#This Row],[Total State Aid]])=0,_xlfn.RANK.AVG(RawData[[#This Row],[Total State Aid]],RawData[Total State Aid]),"")</f>
        <v>26</v>
      </c>
      <c r="G21">
        <f>IF(COUNTBLANK(RawData[[#This Row],[Total State and Local Support Excluding Federal Stimulus 2023]])=0,_xlfn.RANK.AVG(RawData[[#This Row],[Total State and Local Support Excluding Federal Stimulus 2023]],RawData[Total State and Local Support Excluding Federal Stimulus 2023]),"")</f>
        <v>8</v>
      </c>
      <c r="H21">
        <f>IF(COUNTBLANK(RawData[[#This Row],[Gross FTE Enrollment 2023]])=0,_xlfn.RANK.AVG(RawData[[#This Row],[Gross FTE Enrollment 2023]],RawData[Gross FTE Enrollment 2023]),"")</f>
        <v>15</v>
      </c>
      <c r="I21">
        <f>IF(COUNTBLANK(RawData[[#This Row],[Public high school graduates, 2022-23]])=0,_xlfn.RANK.AVG(RawData[[#This Row],[Public high school graduates, 2022-23]],RawData[Public high school graduates, 2022-23]),"")</f>
        <v>21</v>
      </c>
      <c r="J21">
        <f>IF(COUNTBLANK(RawData[[#This Row],[State Support per FTE 2023]])=0,_xlfn.RANK.AVG(RawData[[#This Row],[State Support per FTE 2023]],RawData[State Support per FTE 2023]),"")</f>
        <v>8</v>
      </c>
      <c r="K21">
        <f>IF(COUNTBLANK(RawData[[#This Row],[Support Per $1,000 in Personal Income 2022]])=0,_xlfn.RANK.AVG(RawData[[#This Row],[Support Per $1,000 in Personal Income 2022]],RawData[Support Per $1,000 in Personal Income 2022]),"")</f>
        <v>15</v>
      </c>
      <c r="L21">
        <f>IF(COUNTBLANK(RawData[[#This Row],[ CUNY_ASAP]])=0,_xlfn.RANK.AVG(RawData[[#This Row],[ CUNY_ASAP]],RawData[ CUNY_ASAP]),"")</f>
        <v>8</v>
      </c>
      <c r="M21">
        <f>IF(COUNTBLANK(RawData[[#This Row],[Total State financial aid spending per high school graduate ]])=0,_xlfn.RANK.AVG(RawData[[#This Row],[Total State financial aid spending per high school graduate ]],RawData[[Total State financial aid spending per high school graduate ]]),"")</f>
        <v>35</v>
      </c>
      <c r="N21" s="31"/>
      <c r="O21">
        <f t="shared" si="0"/>
        <v>38.5</v>
      </c>
      <c r="P21">
        <f t="shared" si="1"/>
        <v>28.5</v>
      </c>
      <c r="Q21" s="31"/>
      <c r="R21">
        <f t="shared" si="2"/>
        <v>33.5</v>
      </c>
      <c r="S21">
        <f t="shared" si="3"/>
        <v>7</v>
      </c>
      <c r="T21" s="31"/>
      <c r="U21">
        <f>IF(A21='State Detail'!BM$7,1,0)</f>
        <v>0</v>
      </c>
      <c r="V21" s="24" t="e">
        <f t="shared" si="4"/>
        <v>#N/A</v>
      </c>
      <c r="W21" s="24" t="e">
        <f t="shared" si="5"/>
        <v>#N/A</v>
      </c>
      <c r="X21" s="31"/>
      <c r="Y21">
        <f>IF(COUNTBLANK(RawData[[#This Row],[General Public Operations]])=0,_xlfn.RANK.AVG(RawData[[#This Row],[General Public Operations]],RawData[General Public Operations]),"")</f>
        <v>9</v>
      </c>
      <c r="Z21">
        <f>IF(COUNTBLANK(RawData[[#This Row],[10 Year Percentage Change in State Support per FTE]])=0,_xlfn.RANK.AVG(RawData[[#This Row],[10 Year Percentage Change in State Support per FTE]],RawData[10 Year Percentage Change in State Support per FTE]),"")</f>
        <v>11</v>
      </c>
      <c r="AA21">
        <f>IF(COUNTBLANK(RawData[[#This Row],[Support Per $1,000 in Personal Income Percent Change since 2012]])=0,_xlfn.RANK.AVG(RawData[[#This Row],[Support Per $1,000 in Personal Income Percent Change since 2012]],RawData[Support Per $1,000 in Personal Income Percent Change since 2012]),"")</f>
        <v>4</v>
      </c>
    </row>
    <row r="22" spans="1:27" x14ac:dyDescent="0.35">
      <c r="A22" s="29" t="s">
        <v>104</v>
      </c>
      <c r="B22" s="30" t="s">
        <v>105</v>
      </c>
      <c r="C22">
        <f>IF(COUNTBLANK(RawData[[#This Row],[Need-based aid (2023)]])=0,_xlfn.RANK.AVG(RawData[[#This Row],[Need-based aid (2023)]],RawData[Need-based aid (2023)]),"")</f>
        <v>15</v>
      </c>
      <c r="D22">
        <f>IF(COUNTBLANK(RawData[[#This Row],[Non-need based aid (2023)]])=0,_xlfn.RANK.AVG(RawData[[#This Row],[Non-need based aid (2023)]],RawData[Non-need based aid (2023)]),"")</f>
        <v>35</v>
      </c>
      <c r="E22">
        <f>IF(COUNTBLANK(RawData[[#This Row],[Non-grant aid (2023)]])=0,_xlfn.RANK.AVG(RawData[[#This Row],[Non-grant aid (2023)]],RawData[Non-grant aid (2023)]),"")</f>
        <v>9</v>
      </c>
      <c r="F22">
        <f>IF(COUNTBLANK(RawData[[#This Row],[Total State Aid]])=0,_xlfn.RANK.AVG(RawData[[#This Row],[Total State Aid]],RawData[Total State Aid]),"")</f>
        <v>21</v>
      </c>
      <c r="G22">
        <f>IF(COUNTBLANK(RawData[[#This Row],[Total State and Local Support Excluding Federal Stimulus 2023]])=0,_xlfn.RANK.AVG(RawData[[#This Row],[Total State and Local Support Excluding Federal Stimulus 2023]],RawData[Total State and Local Support Excluding Federal Stimulus 2023]),"")</f>
        <v>18</v>
      </c>
      <c r="H22">
        <f>IF(COUNTBLANK(RawData[[#This Row],[Gross FTE Enrollment 2023]])=0,_xlfn.RANK.AVG(RawData[[#This Row],[Gross FTE Enrollment 2023]],RawData[Gross FTE Enrollment 2023]),"")</f>
        <v>25</v>
      </c>
      <c r="I22">
        <f>IF(COUNTBLANK(RawData[[#This Row],[Public high school graduates, 2022-23]])=0,_xlfn.RANK.AVG(RawData[[#This Row],[Public high school graduates, 2022-23]],RawData[Public high school graduates, 2022-23]),"")</f>
        <v>16</v>
      </c>
      <c r="J22">
        <f>IF(COUNTBLANK(RawData[[#This Row],[State Support per FTE 2023]])=0,_xlfn.RANK.AVG(RawData[[#This Row],[State Support per FTE 2023]],RawData[State Support per FTE 2023]),"")</f>
        <v>10</v>
      </c>
      <c r="K22">
        <f>IF(COUNTBLANK(RawData[[#This Row],[Support Per $1,000 in Personal Income 2022]])=0,_xlfn.RANK.AVG(RawData[[#This Row],[Support Per $1,000 in Personal Income 2022]],RawData[Support Per $1,000 in Personal Income 2022]),"")</f>
        <v>45.5</v>
      </c>
      <c r="L22">
        <f>IF(COUNTBLANK(RawData[[#This Row],[ CUNY_ASAP]])=0,_xlfn.RANK.AVG(RawData[[#This Row],[ CUNY_ASAP]],RawData[ CUNY_ASAP]),"")</f>
        <v>22</v>
      </c>
      <c r="M22">
        <f>IF(COUNTBLANK(RawData[[#This Row],[Total State financial aid spending per high school graduate ]])=0,_xlfn.RANK.AVG(RawData[[#This Row],[Total State financial aid spending per high school graduate ]],RawData[[Total State financial aid spending per high school graduate ]]),"")</f>
        <v>26</v>
      </c>
      <c r="N22" s="31"/>
      <c r="O22">
        <f t="shared" si="0"/>
        <v>22.25</v>
      </c>
      <c r="P22">
        <f t="shared" si="1"/>
        <v>26</v>
      </c>
      <c r="Q22" s="31"/>
      <c r="R22">
        <f t="shared" si="2"/>
        <v>24.125</v>
      </c>
      <c r="S22">
        <f t="shared" si="3"/>
        <v>27</v>
      </c>
      <c r="T22" s="31"/>
      <c r="U22">
        <f>IF(A22='State Detail'!BM$7,1,0)</f>
        <v>0</v>
      </c>
      <c r="V22" s="24" t="e">
        <f t="shared" si="4"/>
        <v>#N/A</v>
      </c>
      <c r="W22" s="24" t="e">
        <f t="shared" si="5"/>
        <v>#N/A</v>
      </c>
      <c r="X22" s="31"/>
      <c r="Y22">
        <f>IF(COUNTBLANK(RawData[[#This Row],[General Public Operations]])=0,_xlfn.RANK.AVG(RawData[[#This Row],[General Public Operations]],RawData[General Public Operations]),"")</f>
        <v>14</v>
      </c>
      <c r="Z22">
        <f>IF(COUNTBLANK(RawData[[#This Row],[10 Year Percentage Change in State Support per FTE]])=0,_xlfn.RANK.AVG(RawData[[#This Row],[10 Year Percentage Change in State Support per FTE]],RawData[10 Year Percentage Change in State Support per FTE]),"")</f>
        <v>6</v>
      </c>
      <c r="AA22">
        <f>IF(COUNTBLANK(RawData[[#This Row],[Support Per $1,000 in Personal Income Percent Change since 2012]])=0,_xlfn.RANK.AVG(RawData[[#This Row],[Support Per $1,000 in Personal Income Percent Change since 2012]],RawData[Support Per $1,000 in Personal Income Percent Change since 2012]),"")</f>
        <v>9</v>
      </c>
    </row>
    <row r="23" spans="1:27" x14ac:dyDescent="0.35">
      <c r="A23" s="29" t="s">
        <v>107</v>
      </c>
      <c r="B23" s="30" t="s">
        <v>108</v>
      </c>
      <c r="C23">
        <f>IF(COUNTBLANK(RawData[[#This Row],[Need-based aid (2023)]])=0,_xlfn.RANK.AVG(RawData[[#This Row],[Need-based aid (2023)]],RawData[Need-based aid (2023)]),"")</f>
        <v>18</v>
      </c>
      <c r="D23">
        <f>IF(COUNTBLANK(RawData[[#This Row],[Non-need based aid (2023)]])=0,_xlfn.RANK.AVG(RawData[[#This Row],[Non-need based aid (2023)]],RawData[Non-need based aid (2023)]),"")</f>
        <v>27</v>
      </c>
      <c r="E23">
        <f>IF(COUNTBLANK(RawData[[#This Row],[Non-grant aid (2023)]])=0,_xlfn.RANK.AVG(RawData[[#This Row],[Non-grant aid (2023)]],RawData[Non-grant aid (2023)]),"")</f>
        <v>13</v>
      </c>
      <c r="F23">
        <f>IF(COUNTBLANK(RawData[[#This Row],[Total State Aid]])=0,_xlfn.RANK.AVG(RawData[[#This Row],[Total State Aid]],RawData[Total State Aid]),"")</f>
        <v>24</v>
      </c>
      <c r="G23">
        <f>IF(COUNTBLANK(RawData[[#This Row],[Total State and Local Support Excluding Federal Stimulus 2023]])=0,_xlfn.RANK.AVG(RawData[[#This Row],[Total State and Local Support Excluding Federal Stimulus 2023]],RawData[Total State and Local Support Excluding Federal Stimulus 2023]),"")</f>
        <v>12</v>
      </c>
      <c r="H23">
        <f>IF(COUNTBLANK(RawData[[#This Row],[Gross FTE Enrollment 2023]])=0,_xlfn.RANK.AVG(RawData[[#This Row],[Gross FTE Enrollment 2023]],RawData[Gross FTE Enrollment 2023]),"")</f>
        <v>8</v>
      </c>
      <c r="I23">
        <f>IF(COUNTBLANK(RawData[[#This Row],[Public high school graduates, 2022-23]])=0,_xlfn.RANK.AVG(RawData[[#This Row],[Public high school graduates, 2022-23]],RawData[Public high school graduates, 2022-23]),"")</f>
        <v>10</v>
      </c>
      <c r="J23">
        <f>IF(COUNTBLANK(RawData[[#This Row],[State Support per FTE 2023]])=0,_xlfn.RANK.AVG(RawData[[#This Row],[State Support per FTE 2023]],RawData[State Support per FTE 2023]),"")</f>
        <v>37</v>
      </c>
      <c r="K23">
        <f>IF(COUNTBLANK(RawData[[#This Row],[Support Per $1,000 in Personal Income 2022]])=0,_xlfn.RANK.AVG(RawData[[#This Row],[Support Per $1,000 in Personal Income 2022]],RawData[Support Per $1,000 in Personal Income 2022]),"")</f>
        <v>23</v>
      </c>
      <c r="L23">
        <f>IF(COUNTBLANK(RawData[[#This Row],[ CUNY_ASAP]])=0,_xlfn.RANK.AVG(RawData[[#This Row],[ CUNY_ASAP]],RawData[ CUNY_ASAP]),"")</f>
        <v>21</v>
      </c>
      <c r="M23">
        <f>IF(COUNTBLANK(RawData[[#This Row],[Total State financial aid spending per high school graduate ]])=0,_xlfn.RANK.AVG(RawData[[#This Row],[Total State financial aid spending per high school graduate ]],RawData[[Total State financial aid spending per high school graduate ]]),"")</f>
        <v>39</v>
      </c>
      <c r="N23" s="31"/>
      <c r="O23">
        <f t="shared" si="0"/>
        <v>20</v>
      </c>
      <c r="P23">
        <f t="shared" si="1"/>
        <v>20</v>
      </c>
      <c r="Q23" s="31"/>
      <c r="R23">
        <f t="shared" si="2"/>
        <v>20</v>
      </c>
      <c r="S23">
        <f t="shared" si="3"/>
        <v>36</v>
      </c>
      <c r="T23" s="31"/>
      <c r="U23">
        <f>IF(A23='State Detail'!BM$7,1,0)</f>
        <v>0</v>
      </c>
      <c r="V23" s="24" t="e">
        <f t="shared" si="4"/>
        <v>#N/A</v>
      </c>
      <c r="W23" s="24" t="e">
        <f t="shared" si="5"/>
        <v>#N/A</v>
      </c>
      <c r="X23" s="31"/>
      <c r="Y23">
        <f>IF(COUNTBLANK(RawData[[#This Row],[General Public Operations]])=0,_xlfn.RANK.AVG(RawData[[#This Row],[General Public Operations]],RawData[General Public Operations]),"")</f>
        <v>8</v>
      </c>
      <c r="Z23">
        <f>IF(COUNTBLANK(RawData[[#This Row],[10 Year Percentage Change in State Support per FTE]])=0,_xlfn.RANK.AVG(RawData[[#This Row],[10 Year Percentage Change in State Support per FTE]],RawData[10 Year Percentage Change in State Support per FTE]),"")</f>
        <v>17</v>
      </c>
      <c r="AA23">
        <f>IF(COUNTBLANK(RawData[[#This Row],[Support Per $1,000 in Personal Income Percent Change since 2012]])=0,_xlfn.RANK.AVG(RawData[[#This Row],[Support Per $1,000 in Personal Income Percent Change since 2012]],RawData[Support Per $1,000 in Personal Income Percent Change since 2012]),"")</f>
        <v>7</v>
      </c>
    </row>
    <row r="24" spans="1:27" x14ac:dyDescent="0.35">
      <c r="A24" s="29" t="s">
        <v>110</v>
      </c>
      <c r="B24" s="30" t="s">
        <v>111</v>
      </c>
      <c r="C24">
        <f>IF(COUNTBLANK(RawData[[#This Row],[Need-based aid (2023)]])=0,_xlfn.RANK.AVG(RawData[[#This Row],[Need-based aid (2023)]],RawData[Need-based aid (2023)]),"")</f>
        <v>12</v>
      </c>
      <c r="D24">
        <f>IF(COUNTBLANK(RawData[[#This Row],[Non-need based aid (2023)]])=0,_xlfn.RANK.AVG(RawData[[#This Row],[Non-need based aid (2023)]],RawData[Non-need based aid (2023)]),"")</f>
        <v>43</v>
      </c>
      <c r="E24">
        <f>IF(COUNTBLANK(RawData[[#This Row],[Non-grant aid (2023)]])=0,_xlfn.RANK.AVG(RawData[[#This Row],[Non-grant aid (2023)]],RawData[Non-grant aid (2023)]),"")</f>
        <v>7</v>
      </c>
      <c r="F24">
        <f>IF(COUNTBLANK(RawData[[#This Row],[Total State Aid]])=0,_xlfn.RANK.AVG(RawData[[#This Row],[Total State Aid]],RawData[Total State Aid]),"")</f>
        <v>16</v>
      </c>
      <c r="G24">
        <f>IF(COUNTBLANK(RawData[[#This Row],[Total State and Local Support Excluding Federal Stimulus 2023]])=0,_xlfn.RANK.AVG(RawData[[#This Row],[Total State and Local Support Excluding Federal Stimulus 2023]],RawData[Total State and Local Support Excluding Federal Stimulus 2023]),"")</f>
        <v>21</v>
      </c>
      <c r="H24">
        <f>IF(COUNTBLANK(RawData[[#This Row],[Gross FTE Enrollment 2023]])=0,_xlfn.RANK.AVG(RawData[[#This Row],[Gross FTE Enrollment 2023]],RawData[Gross FTE Enrollment 2023]),"")</f>
        <v>23</v>
      </c>
      <c r="I24">
        <f>IF(COUNTBLANK(RawData[[#This Row],[Public high school graduates, 2022-23]])=0,_xlfn.RANK.AVG(RawData[[#This Row],[Public high school graduates, 2022-23]],RawData[Public high school graduates, 2022-23]),"")</f>
        <v>17</v>
      </c>
      <c r="J24">
        <f>IF(COUNTBLANK(RawData[[#This Row],[State Support per FTE 2023]])=0,_xlfn.RANK.AVG(RawData[[#This Row],[State Support per FTE 2023]],RawData[State Support per FTE 2023]),"")</f>
        <v>25</v>
      </c>
      <c r="K24">
        <f>IF(COUNTBLANK(RawData[[#This Row],[Support Per $1,000 in Personal Income 2022]])=0,_xlfn.RANK.AVG(RawData[[#This Row],[Support Per $1,000 in Personal Income 2022]],RawData[Support Per $1,000 in Personal Income 2022]),"")</f>
        <v>33</v>
      </c>
      <c r="L24">
        <f>IF(COUNTBLANK(RawData[[#This Row],[ CUNY_ASAP]])=0,_xlfn.RANK.AVG(RawData[[#This Row],[ CUNY_ASAP]],RawData[ CUNY_ASAP]),"")</f>
        <v>23</v>
      </c>
      <c r="M24">
        <f>IF(COUNTBLANK(RawData[[#This Row],[Total State financial aid spending per high school graduate ]])=0,_xlfn.RANK.AVG(RawData[[#This Row],[Total State financial aid spending per high school graduate ]],RawData[[Total State financial aid spending per high school graduate ]]),"")</f>
        <v>16</v>
      </c>
      <c r="N24" s="31"/>
      <c r="O24">
        <f t="shared" si="0"/>
        <v>21</v>
      </c>
      <c r="P24">
        <f t="shared" si="1"/>
        <v>30.5</v>
      </c>
      <c r="Q24" s="31"/>
      <c r="R24">
        <f t="shared" si="2"/>
        <v>25.75</v>
      </c>
      <c r="S24">
        <f t="shared" si="3"/>
        <v>22</v>
      </c>
      <c r="T24" s="31"/>
      <c r="U24">
        <f>IF(A24='State Detail'!BM$7,1,0)</f>
        <v>0</v>
      </c>
      <c r="V24" s="24" t="e">
        <f t="shared" si="4"/>
        <v>#N/A</v>
      </c>
      <c r="W24" s="24" t="e">
        <f t="shared" si="5"/>
        <v>#N/A</v>
      </c>
      <c r="X24" s="31"/>
      <c r="Y24">
        <f>IF(COUNTBLANK(RawData[[#This Row],[General Public Operations]])=0,_xlfn.RANK.AVG(RawData[[#This Row],[General Public Operations]],RawData[General Public Operations]),"")</f>
        <v>21</v>
      </c>
      <c r="Z24">
        <f>IF(COUNTBLANK(RawData[[#This Row],[10 Year Percentage Change in State Support per FTE]])=0,_xlfn.RANK.AVG(RawData[[#This Row],[10 Year Percentage Change in State Support per FTE]],RawData[10 Year Percentage Change in State Support per FTE]),"")</f>
        <v>21</v>
      </c>
      <c r="AA24">
        <f>IF(COUNTBLANK(RawData[[#This Row],[Support Per $1,000 in Personal Income Percent Change since 2012]])=0,_xlfn.RANK.AVG(RawData[[#This Row],[Support Per $1,000 in Personal Income Percent Change since 2012]],RawData[Support Per $1,000 in Personal Income Percent Change since 2012]),"")</f>
        <v>26</v>
      </c>
    </row>
    <row r="25" spans="1:27" x14ac:dyDescent="0.35">
      <c r="A25" s="29" t="s">
        <v>112</v>
      </c>
      <c r="B25" s="30" t="s">
        <v>113</v>
      </c>
      <c r="C25">
        <f>IF(COUNTBLANK(RawData[[#This Row],[Need-based aid (2023)]])=0,_xlfn.RANK.AVG(RawData[[#This Row],[Need-based aid (2023)]],RawData[Need-based aid (2023)]),"")</f>
        <v>32</v>
      </c>
      <c r="D25">
        <f>IF(COUNTBLANK(RawData[[#This Row],[Non-need based aid (2023)]])=0,_xlfn.RANK.AVG(RawData[[#This Row],[Non-need based aid (2023)]],RawData[Non-need based aid (2023)]),"")</f>
        <v>17</v>
      </c>
      <c r="E25">
        <f>IF(COUNTBLANK(RawData[[#This Row],[Non-grant aid (2023)]])=0,_xlfn.RANK.AVG(RawData[[#This Row],[Non-grant aid (2023)]],RawData[Non-grant aid (2023)]),"")</f>
        <v>31</v>
      </c>
      <c r="F25">
        <f>IF(COUNTBLANK(RawData[[#This Row],[Total State Aid]])=0,_xlfn.RANK.AVG(RawData[[#This Row],[Total State Aid]],RawData[Total State Aid]),"")</f>
        <v>36</v>
      </c>
      <c r="G25">
        <f>IF(COUNTBLANK(RawData[[#This Row],[Total State and Local Support Excluding Federal Stimulus 2023]])=0,_xlfn.RANK.AVG(RawData[[#This Row],[Total State and Local Support Excluding Federal Stimulus 2023]],RawData[Total State and Local Support Excluding Federal Stimulus 2023]),"")</f>
        <v>32</v>
      </c>
      <c r="H25">
        <f>IF(COUNTBLANK(RawData[[#This Row],[Gross FTE Enrollment 2023]])=0,_xlfn.RANK.AVG(RawData[[#This Row],[Gross FTE Enrollment 2023]],RawData[Gross FTE Enrollment 2023]),"")</f>
        <v>31</v>
      </c>
      <c r="I25">
        <f>IF(COUNTBLANK(RawData[[#This Row],[Public high school graduates, 2022-23]])=0,_xlfn.RANK.AVG(RawData[[#This Row],[Public high school graduates, 2022-23]],RawData[Public high school graduates, 2022-23]),"")</f>
        <v>35</v>
      </c>
      <c r="J25">
        <f>IF(COUNTBLANK(RawData[[#This Row],[State Support per FTE 2023]])=0,_xlfn.RANK.AVG(RawData[[#This Row],[State Support per FTE 2023]],RawData[State Support per FTE 2023]),"")</f>
        <v>32</v>
      </c>
      <c r="K25">
        <f>IF(COUNTBLANK(RawData[[#This Row],[Support Per $1,000 in Personal Income 2022]])=0,_xlfn.RANK.AVG(RawData[[#This Row],[Support Per $1,000 in Personal Income 2022]],RawData[Support Per $1,000 in Personal Income 2022]),"")</f>
        <v>7</v>
      </c>
      <c r="L25">
        <f>IF(COUNTBLANK(RawData[[#This Row],[ CUNY_ASAP]])=0,_xlfn.RANK.AVG(RawData[[#This Row],[ CUNY_ASAP]],RawData[ CUNY_ASAP]),"")</f>
        <v>30</v>
      </c>
      <c r="M25">
        <f>IF(COUNTBLANK(RawData[[#This Row],[Total State financial aid spending per high school graduate ]])=0,_xlfn.RANK.AVG(RawData[[#This Row],[Total State financial aid spending per high school graduate ]],RawData[[Total State financial aid spending per high school graduate ]]),"")</f>
        <v>38</v>
      </c>
      <c r="N25" s="31"/>
      <c r="O25">
        <f t="shared" si="0"/>
        <v>30.5</v>
      </c>
      <c r="P25">
        <f t="shared" si="1"/>
        <v>16</v>
      </c>
      <c r="Q25" s="31"/>
      <c r="R25">
        <f t="shared" si="2"/>
        <v>23.25</v>
      </c>
      <c r="S25">
        <f t="shared" si="3"/>
        <v>29</v>
      </c>
      <c r="T25" s="31"/>
      <c r="U25">
        <f>IF(A25='State Detail'!BM$7,1,0)</f>
        <v>0</v>
      </c>
      <c r="V25" s="24" t="e">
        <f t="shared" si="4"/>
        <v>#N/A</v>
      </c>
      <c r="W25" s="24" t="e">
        <f t="shared" si="5"/>
        <v>#N/A</v>
      </c>
      <c r="X25" s="31"/>
      <c r="Y25">
        <f>IF(COUNTBLANK(RawData[[#This Row],[General Public Operations]])=0,_xlfn.RANK.AVG(RawData[[#This Row],[General Public Operations]],RawData[General Public Operations]),"")</f>
        <v>33</v>
      </c>
      <c r="Z25">
        <f>IF(COUNTBLANK(RawData[[#This Row],[10 Year Percentage Change in State Support per FTE]])=0,_xlfn.RANK.AVG(RawData[[#This Row],[10 Year Percentage Change in State Support per FTE]],RawData[10 Year Percentage Change in State Support per FTE]),"")</f>
        <v>41</v>
      </c>
      <c r="AA25">
        <f>IF(COUNTBLANK(RawData[[#This Row],[Support Per $1,000 in Personal Income Percent Change since 2012]])=0,_xlfn.RANK.AVG(RawData[[#This Row],[Support Per $1,000 in Personal Income Percent Change since 2012]],RawData[Support Per $1,000 in Personal Income Percent Change since 2012]),"")</f>
        <v>43</v>
      </c>
    </row>
    <row r="26" spans="1:27" x14ac:dyDescent="0.35">
      <c r="A26" s="29" t="s">
        <v>114</v>
      </c>
      <c r="B26" s="30" t="s">
        <v>115</v>
      </c>
      <c r="C26">
        <f>IF(COUNTBLANK(RawData[[#This Row],[Need-based aid (2023)]])=0,_xlfn.RANK.AVG(RawData[[#This Row],[Need-based aid (2023)]],RawData[Need-based aid (2023)]),"")</f>
        <v>25</v>
      </c>
      <c r="D26">
        <f>IF(COUNTBLANK(RawData[[#This Row],[Non-need based aid (2023)]])=0,_xlfn.RANK.AVG(RawData[[#This Row],[Non-need based aid (2023)]],RawData[Non-need based aid (2023)]),"")</f>
        <v>10</v>
      </c>
      <c r="E26" t="str">
        <f>IF(COUNTBLANK(RawData[[#This Row],[Non-grant aid (2023)]])=0,_xlfn.RANK.AVG(RawData[[#This Row],[Non-grant aid (2023)]],RawData[Non-grant aid (2023)]),"")</f>
        <v/>
      </c>
      <c r="F26">
        <f>IF(COUNTBLANK(RawData[[#This Row],[Total State Aid]])=0,_xlfn.RANK.AVG(RawData[[#This Row],[Total State Aid]],RawData[Total State Aid]),"")</f>
        <v>25</v>
      </c>
      <c r="G26">
        <f>IF(COUNTBLANK(RawData[[#This Row],[Total State and Local Support Excluding Federal Stimulus 2023]])=0,_xlfn.RANK.AVG(RawData[[#This Row],[Total State and Local Support Excluding Federal Stimulus 2023]],RawData[Total State and Local Support Excluding Federal Stimulus 2023]),"")</f>
        <v>29</v>
      </c>
      <c r="H26">
        <f>IF(COUNTBLANK(RawData[[#This Row],[Gross FTE Enrollment 2023]])=0,_xlfn.RANK.AVG(RawData[[#This Row],[Gross FTE Enrollment 2023]],RawData[Gross FTE Enrollment 2023]),"")</f>
        <v>24</v>
      </c>
      <c r="I26">
        <f>IF(COUNTBLANK(RawData[[#This Row],[Public high school graduates, 2022-23]])=0,_xlfn.RANK.AVG(RawData[[#This Row],[Public high school graduates, 2022-23]],RawData[Public high school graduates, 2022-23]),"")</f>
        <v>19</v>
      </c>
      <c r="J26">
        <f>IF(COUNTBLANK(RawData[[#This Row],[State Support per FTE 2023]])=0,_xlfn.RANK.AVG(RawData[[#This Row],[State Support per FTE 2023]],RawData[State Support per FTE 2023]),"")</f>
        <v>34</v>
      </c>
      <c r="K26">
        <f>IF(COUNTBLANK(RawData[[#This Row],[Support Per $1,000 in Personal Income 2022]])=0,_xlfn.RANK.AVG(RawData[[#This Row],[Support Per $1,000 in Personal Income 2022]],RawData[Support Per $1,000 in Personal Income 2022]),"")</f>
        <v>44</v>
      </c>
      <c r="L26">
        <f>IF(COUNTBLANK(RawData[[#This Row],[ CUNY_ASAP]])=0,_xlfn.RANK.AVG(RawData[[#This Row],[ CUNY_ASAP]],RawData[ CUNY_ASAP]),"")</f>
        <v>33</v>
      </c>
      <c r="M26">
        <f>IF(COUNTBLANK(RawData[[#This Row],[Total State financial aid spending per high school graduate ]])=0,_xlfn.RANK.AVG(RawData[[#This Row],[Total State financial aid spending per high school graduate ]],RawData[[Total State financial aid spending per high school graduate ]]),"")</f>
        <v>33</v>
      </c>
      <c r="N26" s="31"/>
      <c r="O26">
        <f t="shared" si="0"/>
        <v>11</v>
      </c>
      <c r="P26">
        <f t="shared" si="1"/>
        <v>17</v>
      </c>
      <c r="Q26" s="31"/>
      <c r="R26">
        <f t="shared" si="2"/>
        <v>14</v>
      </c>
      <c r="S26">
        <f t="shared" si="3"/>
        <v>45</v>
      </c>
      <c r="T26" s="31"/>
      <c r="U26">
        <f>IF(A26='State Detail'!BM$7,1,0)</f>
        <v>0</v>
      </c>
      <c r="V26" s="24" t="e">
        <f t="shared" si="4"/>
        <v>#N/A</v>
      </c>
      <c r="W26" s="24" t="e">
        <f t="shared" si="5"/>
        <v>#N/A</v>
      </c>
      <c r="X26" s="31"/>
      <c r="Y26">
        <f>IF(COUNTBLANK(RawData[[#This Row],[General Public Operations]])=0,_xlfn.RANK.AVG(RawData[[#This Row],[General Public Operations]],RawData[General Public Operations]),"")</f>
        <v>27</v>
      </c>
      <c r="Z26">
        <f>IF(COUNTBLANK(RawData[[#This Row],[10 Year Percentage Change in State Support per FTE]])=0,_xlfn.RANK.AVG(RawData[[#This Row],[10 Year Percentage Change in State Support per FTE]],RawData[10 Year Percentage Change in State Support per FTE]),"")</f>
        <v>14</v>
      </c>
      <c r="AA26">
        <f>IF(COUNTBLANK(RawData[[#This Row],[Support Per $1,000 in Personal Income Percent Change since 2012]])=0,_xlfn.RANK.AVG(RawData[[#This Row],[Support Per $1,000 in Personal Income Percent Change since 2012]],RawData[Support Per $1,000 in Personal Income Percent Change since 2012]),"")</f>
        <v>30</v>
      </c>
    </row>
    <row r="27" spans="1:27" x14ac:dyDescent="0.35">
      <c r="A27" s="29" t="s">
        <v>116</v>
      </c>
      <c r="B27" s="30" t="s">
        <v>117</v>
      </c>
      <c r="C27">
        <f>IF(COUNTBLANK(RawData[[#This Row],[Need-based aid (2023)]])=0,_xlfn.RANK.AVG(RawData[[#This Row],[Need-based aid (2023)]],RawData[Need-based aid (2023)]),"")</f>
        <v>48</v>
      </c>
      <c r="D27" t="str">
        <f>IF(COUNTBLANK(RawData[[#This Row],[Non-need based aid (2023)]])=0,_xlfn.RANK.AVG(RawData[[#This Row],[Non-need based aid (2023)]],RawData[Non-need based aid (2023)]),"")</f>
        <v/>
      </c>
      <c r="E27">
        <f>IF(COUNTBLANK(RawData[[#This Row],[Non-grant aid (2023)]])=0,_xlfn.RANK.AVG(RawData[[#This Row],[Non-grant aid (2023)]],RawData[Non-grant aid (2023)]),"")</f>
        <v>33</v>
      </c>
      <c r="F27">
        <f>IF(COUNTBLANK(RawData[[#This Row],[Total State Aid]])=0,_xlfn.RANK.AVG(RawData[[#This Row],[Total State Aid]],RawData[Total State Aid]),"")</f>
        <v>50</v>
      </c>
      <c r="G27">
        <f>IF(COUNTBLANK(RawData[[#This Row],[Total State and Local Support Excluding Federal Stimulus 2023]])=0,_xlfn.RANK.AVG(RawData[[#This Row],[Total State and Local Support Excluding Federal Stimulus 2023]],RawData[Total State and Local Support Excluding Federal Stimulus 2023]),"")</f>
        <v>46</v>
      </c>
      <c r="H27">
        <f>IF(COUNTBLANK(RawData[[#This Row],[Gross FTE Enrollment 2023]])=0,_xlfn.RANK.AVG(RawData[[#This Row],[Gross FTE Enrollment 2023]],RawData[Gross FTE Enrollment 2023]),"")</f>
        <v>41</v>
      </c>
      <c r="I27">
        <f>IF(COUNTBLANK(RawData[[#This Row],[Public high school graduates, 2022-23]])=0,_xlfn.RANK.AVG(RawData[[#This Row],[Public high school graduates, 2022-23]],RawData[Public high school graduates, 2022-23]),"")</f>
        <v>45</v>
      </c>
      <c r="J27">
        <f>IF(COUNTBLANK(RawData[[#This Row],[State Support per FTE 2023]])=0,_xlfn.RANK.AVG(RawData[[#This Row],[State Support per FTE 2023]],RawData[State Support per FTE 2023]),"")</f>
        <v>39</v>
      </c>
      <c r="K27">
        <f>IF(COUNTBLANK(RawData[[#This Row],[Support Per $1,000 in Personal Income 2022]])=0,_xlfn.RANK.AVG(RawData[[#This Row],[Support Per $1,000 in Personal Income 2022]],RawData[Support Per $1,000 in Personal Income 2022]),"")</f>
        <v>37</v>
      </c>
      <c r="L27">
        <f>IF(COUNTBLANK(RawData[[#This Row],[ CUNY_ASAP]])=0,_xlfn.RANK.AVG(RawData[[#This Row],[ CUNY_ASAP]],RawData[ CUNY_ASAP]),"")</f>
        <v>35</v>
      </c>
      <c r="M27">
        <f>IF(COUNTBLANK(RawData[[#This Row],[Total State financial aid spending per high school graduate ]])=0,_xlfn.RANK.AVG(RawData[[#This Row],[Total State financial aid spending per high school graduate ]],RawData[[Total State financial aid spending per high school graduate ]]),"")</f>
        <v>50</v>
      </c>
      <c r="N27" s="31"/>
      <c r="P27">
        <f t="shared" si="1"/>
        <v>7.5</v>
      </c>
      <c r="Q27" s="31"/>
      <c r="R27">
        <f t="shared" si="2"/>
        <v>7.5</v>
      </c>
      <c r="S27">
        <f t="shared" si="3"/>
        <v>49</v>
      </c>
      <c r="T27" s="31"/>
      <c r="U27">
        <f>IF(A27='State Detail'!BM$7,1,0)</f>
        <v>0</v>
      </c>
      <c r="V27" s="24" t="e">
        <f t="shared" si="4"/>
        <v>#N/A</v>
      </c>
      <c r="W27" s="24" t="e">
        <f t="shared" si="5"/>
        <v>#N/A</v>
      </c>
      <c r="X27" s="31"/>
      <c r="Y27">
        <f>IF(COUNTBLANK(RawData[[#This Row],[General Public Operations]])=0,_xlfn.RANK.AVG(RawData[[#This Row],[General Public Operations]],RawData[General Public Operations]),"")</f>
        <v>46</v>
      </c>
      <c r="Z27">
        <f>IF(COUNTBLANK(RawData[[#This Row],[10 Year Percentage Change in State Support per FTE]])=0,_xlfn.RANK.AVG(RawData[[#This Row],[10 Year Percentage Change in State Support per FTE]],RawData[10 Year Percentage Change in State Support per FTE]),"")</f>
        <v>30</v>
      </c>
      <c r="AA27">
        <f>IF(COUNTBLANK(RawData[[#This Row],[Support Per $1,000 in Personal Income Percent Change since 2012]])=0,_xlfn.RANK.AVG(RawData[[#This Row],[Support Per $1,000 in Personal Income Percent Change since 2012]],RawData[Support Per $1,000 in Personal Income Percent Change since 2012]),"")</f>
        <v>35</v>
      </c>
    </row>
    <row r="28" spans="1:27" x14ac:dyDescent="0.35">
      <c r="A28" s="29" t="s">
        <v>119</v>
      </c>
      <c r="B28" s="30" t="s">
        <v>120</v>
      </c>
      <c r="C28">
        <f>IF(COUNTBLANK(RawData[[#This Row],[Need-based aid (2023)]])=0,_xlfn.RANK.AVG(RawData[[#This Row],[Need-based aid (2023)]],RawData[Need-based aid (2023)]),"")</f>
        <v>33</v>
      </c>
      <c r="D28">
        <f>IF(COUNTBLANK(RawData[[#This Row],[Non-need based aid (2023)]])=0,_xlfn.RANK.AVG(RawData[[#This Row],[Non-need based aid (2023)]],RawData[Non-need based aid (2023)]),"")</f>
        <v>21</v>
      </c>
      <c r="E28">
        <f>IF(COUNTBLANK(RawData[[#This Row],[Non-grant aid (2023)]])=0,_xlfn.RANK.AVG(RawData[[#This Row],[Non-grant aid (2023)]],RawData[Non-grant aid (2023)]),"")</f>
        <v>28</v>
      </c>
      <c r="F28">
        <f>IF(COUNTBLANK(RawData[[#This Row],[Total State Aid]])=0,_xlfn.RANK.AVG(RawData[[#This Row],[Total State Aid]],RawData[Total State Aid]),"")</f>
        <v>37</v>
      </c>
      <c r="G28">
        <f>IF(COUNTBLANK(RawData[[#This Row],[Total State and Local Support Excluding Federal Stimulus 2023]])=0,_xlfn.RANK.AVG(RawData[[#This Row],[Total State and Local Support Excluding Federal Stimulus 2023]],RawData[Total State and Local Support Excluding Federal Stimulus 2023]),"")</f>
        <v>34</v>
      </c>
      <c r="H28">
        <f>IF(COUNTBLANK(RawData[[#This Row],[Gross FTE Enrollment 2023]])=0,_xlfn.RANK.AVG(RawData[[#This Row],[Gross FTE Enrollment 2023]],RawData[Gross FTE Enrollment 2023]),"")</f>
        <v>37</v>
      </c>
      <c r="I28">
        <f>IF(COUNTBLANK(RawData[[#This Row],[Public high school graduates, 2022-23]])=0,_xlfn.RANK.AVG(RawData[[#This Row],[Public high school graduates, 2022-23]],RawData[Public high school graduates, 2022-23]),"")</f>
        <v>36</v>
      </c>
      <c r="J28">
        <f>IF(COUNTBLANK(RawData[[#This Row],[State Support per FTE 2023]])=0,_xlfn.RANK.AVG(RawData[[#This Row],[State Support per FTE 2023]],RawData[State Support per FTE 2023]),"")</f>
        <v>12</v>
      </c>
      <c r="K28">
        <f>IF(COUNTBLANK(RawData[[#This Row],[Support Per $1,000 in Personal Income 2022]])=0,_xlfn.RANK.AVG(RawData[[#This Row],[Support Per $1,000 in Personal Income 2022]],RawData[Support Per $1,000 in Personal Income 2022]),"")</f>
        <v>5</v>
      </c>
      <c r="L28">
        <f>IF(COUNTBLANK(RawData[[#This Row],[ CUNY_ASAP]])=0,_xlfn.RANK.AVG(RawData[[#This Row],[ CUNY_ASAP]],RawData[ CUNY_ASAP]),"")</f>
        <v>29</v>
      </c>
      <c r="M28">
        <f>IF(COUNTBLANK(RawData[[#This Row],[Total State financial aid spending per high school graduate ]])=0,_xlfn.RANK.AVG(RawData[[#This Row],[Total State financial aid spending per high school graduate ]],RawData[[Total State financial aid spending per high school graduate ]]),"")</f>
        <v>37</v>
      </c>
      <c r="N28" s="31"/>
      <c r="O28">
        <f t="shared" si="0"/>
        <v>41.5</v>
      </c>
      <c r="P28">
        <f t="shared" si="1"/>
        <v>17</v>
      </c>
      <c r="Q28" s="31"/>
      <c r="R28">
        <f t="shared" si="2"/>
        <v>29.25</v>
      </c>
      <c r="S28">
        <f t="shared" si="3"/>
        <v>14</v>
      </c>
      <c r="T28" s="31"/>
      <c r="U28">
        <f>IF(A28='State Detail'!BM$7,1,0)</f>
        <v>0</v>
      </c>
      <c r="V28" s="24" t="e">
        <f t="shared" si="4"/>
        <v>#N/A</v>
      </c>
      <c r="W28" s="24" t="e">
        <f t="shared" si="5"/>
        <v>#N/A</v>
      </c>
      <c r="X28" s="31"/>
      <c r="Y28">
        <f>IF(COUNTBLANK(RawData[[#This Row],[General Public Operations]])=0,_xlfn.RANK.AVG(RawData[[#This Row],[General Public Operations]],RawData[General Public Operations]),"")</f>
        <v>34</v>
      </c>
      <c r="Z28">
        <f>IF(COUNTBLANK(RawData[[#This Row],[10 Year Percentage Change in State Support per FTE]])=0,_xlfn.RANK.AVG(RawData[[#This Row],[10 Year Percentage Change in State Support per FTE]],RawData[10 Year Percentage Change in State Support per FTE]),"")</f>
        <v>32</v>
      </c>
      <c r="AA28">
        <f>IF(COUNTBLANK(RawData[[#This Row],[Support Per $1,000 in Personal Income Percent Change since 2012]])=0,_xlfn.RANK.AVG(RawData[[#This Row],[Support Per $1,000 in Personal Income Percent Change since 2012]],RawData[Support Per $1,000 in Personal Income Percent Change since 2012]),"")</f>
        <v>21</v>
      </c>
    </row>
    <row r="29" spans="1:27" x14ac:dyDescent="0.35">
      <c r="A29" s="29" t="s">
        <v>121</v>
      </c>
      <c r="B29" s="30" t="s">
        <v>122</v>
      </c>
      <c r="C29">
        <f>IF(COUNTBLANK(RawData[[#This Row],[Need-based aid (2023)]])=0,_xlfn.RANK.AVG(RawData[[#This Row],[Need-based aid (2023)]],RawData[Need-based aid (2023)]),"")</f>
        <v>36</v>
      </c>
      <c r="D29">
        <f>IF(COUNTBLANK(RawData[[#This Row],[Non-need based aid (2023)]])=0,_xlfn.RANK.AVG(RawData[[#This Row],[Non-need based aid (2023)]],RawData[Non-need based aid (2023)]),"")</f>
        <v>13</v>
      </c>
      <c r="E29">
        <f>IF(COUNTBLANK(RawData[[#This Row],[Non-grant aid (2023)]])=0,_xlfn.RANK.AVG(RawData[[#This Row],[Non-grant aid (2023)]],RawData[Non-grant aid (2023)]),"")</f>
        <v>17</v>
      </c>
      <c r="F29">
        <f>IF(COUNTBLANK(RawData[[#This Row],[Total State Aid]])=0,_xlfn.RANK.AVG(RawData[[#This Row],[Total State Aid]],RawData[Total State Aid]),"")</f>
        <v>32</v>
      </c>
      <c r="G29">
        <f>IF(COUNTBLANK(RawData[[#This Row],[Total State and Local Support Excluding Federal Stimulus 2023]])=0,_xlfn.RANK.AVG(RawData[[#This Row],[Total State and Local Support Excluding Federal Stimulus 2023]],RawData[Total State and Local Support Excluding Federal Stimulus 2023]),"")</f>
        <v>38</v>
      </c>
      <c r="H29">
        <f>IF(COUNTBLANK(RawData[[#This Row],[Gross FTE Enrollment 2023]])=0,_xlfn.RANK.AVG(RawData[[#This Row],[Gross FTE Enrollment 2023]],RawData[Gross FTE Enrollment 2023]),"")</f>
        <v>34</v>
      </c>
      <c r="I29">
        <f>IF(COUNTBLANK(RawData[[#This Row],[Public high school graduates, 2022-23]])=0,_xlfn.RANK.AVG(RawData[[#This Row],[Public high school graduates, 2022-23]],RawData[Public high school graduates, 2022-23]),"")</f>
        <v>34</v>
      </c>
      <c r="J29">
        <f>IF(COUNTBLANK(RawData[[#This Row],[State Support per FTE 2023]])=0,_xlfn.RANK.AVG(RawData[[#This Row],[State Support per FTE 2023]],RawData[State Support per FTE 2023]),"")</f>
        <v>33</v>
      </c>
      <c r="K29">
        <f>IF(COUNTBLANK(RawData[[#This Row],[Support Per $1,000 in Personal Income 2022]])=0,_xlfn.RANK.AVG(RawData[[#This Row],[Support Per $1,000 in Personal Income 2022]],RawData[Support Per $1,000 in Personal Income 2022]),"")</f>
        <v>43</v>
      </c>
      <c r="L29">
        <f>IF(COUNTBLANK(RawData[[#This Row],[ CUNY_ASAP]])=0,_xlfn.RANK.AVG(RawData[[#This Row],[ CUNY_ASAP]],RawData[ CUNY_ASAP]),"")</f>
        <v>42</v>
      </c>
      <c r="M29">
        <f>IF(COUNTBLANK(RawData[[#This Row],[Total State financial aid spending per high school graduate ]])=0,_xlfn.RANK.AVG(RawData[[#This Row],[Total State financial aid spending per high school graduate ]],RawData[[Total State financial aid spending per high school graduate ]]),"")</f>
        <v>29</v>
      </c>
      <c r="N29" s="31"/>
      <c r="O29">
        <f t="shared" si="0"/>
        <v>12</v>
      </c>
      <c r="P29">
        <f t="shared" si="1"/>
        <v>14.5</v>
      </c>
      <c r="Q29" s="31"/>
      <c r="R29">
        <f t="shared" si="2"/>
        <v>13.25</v>
      </c>
      <c r="S29">
        <f t="shared" si="3"/>
        <v>46</v>
      </c>
      <c r="T29" s="31"/>
      <c r="U29">
        <f>IF(A29='State Detail'!BM$7,1,0)</f>
        <v>0</v>
      </c>
      <c r="V29" s="24" t="e">
        <f t="shared" si="4"/>
        <v>#N/A</v>
      </c>
      <c r="W29" s="24" t="e">
        <f t="shared" si="5"/>
        <v>#N/A</v>
      </c>
      <c r="X29" s="31"/>
      <c r="Y29">
        <f>IF(COUNTBLANK(RawData[[#This Row],[General Public Operations]])=0,_xlfn.RANK.AVG(RawData[[#This Row],[General Public Operations]],RawData[General Public Operations]),"")</f>
        <v>36</v>
      </c>
      <c r="Z29">
        <f>IF(COUNTBLANK(RawData[[#This Row],[10 Year Percentage Change in State Support per FTE]])=0,_xlfn.RANK.AVG(RawData[[#This Row],[10 Year Percentage Change in State Support per FTE]],RawData[10 Year Percentage Change in State Support per FTE]),"")</f>
        <v>48</v>
      </c>
      <c r="AA29">
        <f>IF(COUNTBLANK(RawData[[#This Row],[Support Per $1,000 in Personal Income Percent Change since 2012]])=0,_xlfn.RANK.AVG(RawData[[#This Row],[Support Per $1,000 in Personal Income Percent Change since 2012]],RawData[Support Per $1,000 in Personal Income Percent Change since 2012]),"")</f>
        <v>40</v>
      </c>
    </row>
    <row r="30" spans="1:27" x14ac:dyDescent="0.35">
      <c r="A30" s="29" t="s">
        <v>123</v>
      </c>
      <c r="B30" s="30" t="s">
        <v>124</v>
      </c>
      <c r="C30">
        <f>IF(COUNTBLANK(RawData[[#This Row],[Need-based aid (2023)]])=0,_xlfn.RANK.AVG(RawData[[#This Row],[Need-based aid (2023)]],RawData[Need-based aid (2023)]),"")</f>
        <v>47</v>
      </c>
      <c r="D30">
        <f>IF(COUNTBLANK(RawData[[#This Row],[Non-need based aid (2023)]])=0,_xlfn.RANK.AVG(RawData[[#This Row],[Non-need based aid (2023)]],RawData[Non-need based aid (2023)]),"")</f>
        <v>38</v>
      </c>
      <c r="E30" t="str">
        <f>IF(COUNTBLANK(RawData[[#This Row],[Non-grant aid (2023)]])=0,_xlfn.RANK.AVG(RawData[[#This Row],[Non-grant aid (2023)]],RawData[Non-grant aid (2023)]),"")</f>
        <v/>
      </c>
      <c r="F30">
        <f>IF(COUNTBLANK(RawData[[#This Row],[Total State Aid]])=0,_xlfn.RANK.AVG(RawData[[#This Row],[Total State Aid]],RawData[Total State Aid]),"")</f>
        <v>49</v>
      </c>
      <c r="G30">
        <f>IF(COUNTBLANK(RawData[[#This Row],[Total State and Local Support Excluding Federal Stimulus 2023]])=0,_xlfn.RANK.AVG(RawData[[#This Row],[Total State and Local Support Excluding Federal Stimulus 2023]],RawData[Total State and Local Support Excluding Federal Stimulus 2023]),"")</f>
        <v>49</v>
      </c>
      <c r="H30">
        <f>IF(COUNTBLANK(RawData[[#This Row],[Gross FTE Enrollment 2023]])=0,_xlfn.RANK.AVG(RawData[[#This Row],[Gross FTE Enrollment 2023]],RawData[Gross FTE Enrollment 2023]),"")</f>
        <v>46</v>
      </c>
      <c r="I30">
        <f>IF(COUNTBLANK(RawData[[#This Row],[Public high school graduates, 2022-23]])=0,_xlfn.RANK.AVG(RawData[[#This Row],[Public high school graduates, 2022-23]],RawData[Public high school graduates, 2022-23]),"")</f>
        <v>41</v>
      </c>
      <c r="J30">
        <f>IF(COUNTBLANK(RawData[[#This Row],[State Support per FTE 2023]])=0,_xlfn.RANK.AVG(RawData[[#This Row],[State Support per FTE 2023]],RawData[State Support per FTE 2023]),"")</f>
        <v>50</v>
      </c>
      <c r="K30">
        <f>IF(COUNTBLANK(RawData[[#This Row],[Support Per $1,000 in Personal Income 2022]])=0,_xlfn.RANK.AVG(RawData[[#This Row],[Support Per $1,000 in Personal Income 2022]],RawData[Support Per $1,000 in Personal Income 2022]),"")</f>
        <v>50</v>
      </c>
      <c r="L30">
        <f>IF(COUNTBLANK(RawData[[#This Row],[ CUNY_ASAP]])=0,_xlfn.RANK.AVG(RawData[[#This Row],[ CUNY_ASAP]],RawData[ CUNY_ASAP]),"")</f>
        <v>31</v>
      </c>
      <c r="M30">
        <f>IF(COUNTBLANK(RawData[[#This Row],[Total State financial aid spending per high school graduate ]])=0,_xlfn.RANK.AVG(RawData[[#This Row],[Total State financial aid spending per high school graduate ]],RawData[[Total State financial aid spending per high school graduate ]]),"")</f>
        <v>48</v>
      </c>
      <c r="N30" s="31"/>
      <c r="O30">
        <f t="shared" si="0"/>
        <v>0</v>
      </c>
      <c r="P30">
        <f t="shared" si="1"/>
        <v>10.5</v>
      </c>
      <c r="Q30" s="31"/>
      <c r="R30">
        <f t="shared" si="2"/>
        <v>5.25</v>
      </c>
      <c r="S30">
        <f t="shared" si="3"/>
        <v>50</v>
      </c>
      <c r="T30" s="31"/>
      <c r="U30">
        <f>IF(A30='State Detail'!BM$7,1,0)</f>
        <v>0</v>
      </c>
      <c r="V30" s="24" t="e">
        <f t="shared" si="4"/>
        <v>#N/A</v>
      </c>
      <c r="W30" s="24" t="e">
        <f t="shared" si="5"/>
        <v>#N/A</v>
      </c>
      <c r="X30" s="31"/>
      <c r="Y30">
        <f>IF(COUNTBLANK(RawData[[#This Row],[General Public Operations]])=0,_xlfn.RANK.AVG(RawData[[#This Row],[General Public Operations]],RawData[General Public Operations]),"")</f>
        <v>49</v>
      </c>
      <c r="Z30">
        <f>IF(COUNTBLANK(RawData[[#This Row],[10 Year Percentage Change in State Support per FTE]])=0,_xlfn.RANK.AVG(RawData[[#This Row],[10 Year Percentage Change in State Support per FTE]],RawData[10 Year Percentage Change in State Support per FTE]),"")</f>
        <v>13</v>
      </c>
      <c r="AA30">
        <f>IF(COUNTBLANK(RawData[[#This Row],[Support Per $1,000 in Personal Income Percent Change since 2012]])=0,_xlfn.RANK.AVG(RawData[[#This Row],[Support Per $1,000 in Personal Income Percent Change since 2012]],RawData[Support Per $1,000 in Personal Income Percent Change since 2012]),"")</f>
        <v>1</v>
      </c>
    </row>
    <row r="31" spans="1:27" x14ac:dyDescent="0.35">
      <c r="A31" s="29" t="s">
        <v>125</v>
      </c>
      <c r="B31" s="30" t="s">
        <v>126</v>
      </c>
      <c r="C31">
        <f>IF(COUNTBLANK(RawData[[#This Row],[Need-based aid (2023)]])=0,_xlfn.RANK.AVG(RawData[[#This Row],[Need-based aid (2023)]],RawData[Need-based aid (2023)]),"")</f>
        <v>7</v>
      </c>
      <c r="D31">
        <f>IF(COUNTBLANK(RawData[[#This Row],[Non-need based aid (2023)]])=0,_xlfn.RANK.AVG(RawData[[#This Row],[Non-need based aid (2023)]],RawData[Non-need based aid (2023)]),"")</f>
        <v>29</v>
      </c>
      <c r="E31">
        <f>IF(COUNTBLANK(RawData[[#This Row],[Non-grant aid (2023)]])=0,_xlfn.RANK.AVG(RawData[[#This Row],[Non-grant aid (2023)]],RawData[Non-grant aid (2023)]),"")</f>
        <v>41</v>
      </c>
      <c r="F31">
        <f>IF(COUNTBLANK(RawData[[#This Row],[Total State Aid]])=0,_xlfn.RANK.AVG(RawData[[#This Row],[Total State Aid]],RawData[Total State Aid]),"")</f>
        <v>10</v>
      </c>
      <c r="G31">
        <f>IF(COUNTBLANK(RawData[[#This Row],[Total State and Local Support Excluding Federal Stimulus 2023]])=0,_xlfn.RANK.AVG(RawData[[#This Row],[Total State and Local Support Excluding Federal Stimulus 2023]],RawData[Total State and Local Support Excluding Federal Stimulus 2023]),"")</f>
        <v>9</v>
      </c>
      <c r="H31">
        <f>IF(COUNTBLANK(RawData[[#This Row],[Gross FTE Enrollment 2023]])=0,_xlfn.RANK.AVG(RawData[[#This Row],[Gross FTE Enrollment 2023]],RawData[Gross FTE Enrollment 2023]),"")</f>
        <v>13</v>
      </c>
      <c r="I31">
        <f>IF(COUNTBLANK(RawData[[#This Row],[Public high school graduates, 2022-23]])=0,_xlfn.RANK.AVG(RawData[[#This Row],[Public high school graduates, 2022-23]],RawData[Public high school graduates, 2022-23]),"")</f>
        <v>11</v>
      </c>
      <c r="J31">
        <f>IF(COUNTBLANK(RawData[[#This Row],[State Support per FTE 2023]])=0,_xlfn.RANK.AVG(RawData[[#This Row],[State Support per FTE 2023]],RawData[State Support per FTE 2023]),"")</f>
        <v>17</v>
      </c>
      <c r="K31">
        <f>IF(COUNTBLANK(RawData[[#This Row],[Support Per $1,000 in Personal Income 2022]])=0,_xlfn.RANK.AVG(RawData[[#This Row],[Support Per $1,000 in Personal Income 2022]],RawData[Support Per $1,000 in Personal Income 2022]),"")</f>
        <v>41</v>
      </c>
      <c r="L31">
        <f>IF(COUNTBLANK(RawData[[#This Row],[ CUNY_ASAP]])=0,_xlfn.RANK.AVG(RawData[[#This Row],[ CUNY_ASAP]],RawData[ CUNY_ASAP]),"")</f>
        <v>6</v>
      </c>
      <c r="M31">
        <f>IF(COUNTBLANK(RawData[[#This Row],[Total State financial aid spending per high school graduate ]])=0,_xlfn.RANK.AVG(RawData[[#This Row],[Total State financial aid spending per high school graduate ]],RawData[[Total State financial aid spending per high school graduate ]]),"")</f>
        <v>15</v>
      </c>
      <c r="N31" s="31"/>
      <c r="O31">
        <f t="shared" si="0"/>
        <v>21</v>
      </c>
      <c r="P31">
        <f t="shared" si="1"/>
        <v>39.5</v>
      </c>
      <c r="Q31" s="31"/>
      <c r="R31">
        <f t="shared" si="2"/>
        <v>30.25</v>
      </c>
      <c r="S31">
        <f t="shared" si="3"/>
        <v>12</v>
      </c>
      <c r="T31" s="31"/>
      <c r="U31">
        <f>IF(A31='State Detail'!BM$7,1,0)</f>
        <v>0</v>
      </c>
      <c r="V31" s="24" t="e">
        <f t="shared" si="4"/>
        <v>#N/A</v>
      </c>
      <c r="W31" s="24" t="e">
        <f t="shared" si="5"/>
        <v>#N/A</v>
      </c>
      <c r="X31" s="31"/>
      <c r="Y31">
        <f>IF(COUNTBLANK(RawData[[#This Row],[General Public Operations]])=0,_xlfn.RANK.AVG(RawData[[#This Row],[General Public Operations]],RawData[General Public Operations]),"")</f>
        <v>11</v>
      </c>
      <c r="Z31">
        <f>IF(COUNTBLANK(RawData[[#This Row],[10 Year Percentage Change in State Support per FTE]])=0,_xlfn.RANK.AVG(RawData[[#This Row],[10 Year Percentage Change in State Support per FTE]],RawData[10 Year Percentage Change in State Support per FTE]),"")</f>
        <v>33</v>
      </c>
      <c r="AA31">
        <f>IF(COUNTBLANK(RawData[[#This Row],[Support Per $1,000 in Personal Income Percent Change since 2012]])=0,_xlfn.RANK.AVG(RawData[[#This Row],[Support Per $1,000 in Personal Income Percent Change since 2012]],RawData[Support Per $1,000 in Personal Income Percent Change since 2012]),"")</f>
        <v>28</v>
      </c>
    </row>
    <row r="32" spans="1:27" x14ac:dyDescent="0.35">
      <c r="A32" s="29" t="s">
        <v>128</v>
      </c>
      <c r="B32" s="30" t="s">
        <v>129</v>
      </c>
      <c r="C32">
        <f>IF(COUNTBLANK(RawData[[#This Row],[Need-based aid (2023)]])=0,_xlfn.RANK.AVG(RawData[[#This Row],[Need-based aid (2023)]],RawData[Need-based aid (2023)]),"")</f>
        <v>39</v>
      </c>
      <c r="D32">
        <f>IF(COUNTBLANK(RawData[[#This Row],[Non-need based aid (2023)]])=0,_xlfn.RANK.AVG(RawData[[#This Row],[Non-need based aid (2023)]],RawData[Non-need based aid (2023)]),"")</f>
        <v>6</v>
      </c>
      <c r="E32">
        <f>IF(COUNTBLANK(RawData[[#This Row],[Non-grant aid (2023)]])=0,_xlfn.RANK.AVG(RawData[[#This Row],[Non-grant aid (2023)]],RawData[Non-grant aid (2023)]),"")</f>
        <v>24</v>
      </c>
      <c r="F32">
        <f>IF(COUNTBLANK(RawData[[#This Row],[Total State Aid]])=0,_xlfn.RANK.AVG(RawData[[#This Row],[Total State Aid]],RawData[Total State Aid]),"")</f>
        <v>19</v>
      </c>
      <c r="G32">
        <f>IF(COUNTBLANK(RawData[[#This Row],[Total State and Local Support Excluding Federal Stimulus 2023]])=0,_xlfn.RANK.AVG(RawData[[#This Row],[Total State and Local Support Excluding Federal Stimulus 2023]],RawData[Total State and Local Support Excluding Federal Stimulus 2023]),"")</f>
        <v>23</v>
      </c>
      <c r="H32">
        <f>IF(COUNTBLANK(RawData[[#This Row],[Gross FTE Enrollment 2023]])=0,_xlfn.RANK.AVG(RawData[[#This Row],[Gross FTE Enrollment 2023]],RawData[Gross FTE Enrollment 2023]),"")</f>
        <v>36</v>
      </c>
      <c r="I32">
        <f>IF(COUNTBLANK(RawData[[#This Row],[Public high school graduates, 2022-23]])=0,_xlfn.RANK.AVG(RawData[[#This Row],[Public high school graduates, 2022-23]],RawData[Public high school graduates, 2022-23]),"")</f>
        <v>38</v>
      </c>
      <c r="J32">
        <f>IF(COUNTBLANK(RawData[[#This Row],[State Support per FTE 2023]])=0,_xlfn.RANK.AVG(RawData[[#This Row],[State Support per FTE 2023]],RawData[State Support per FTE 2023]),"")</f>
        <v>5</v>
      </c>
      <c r="K32">
        <f>IF(COUNTBLANK(RawData[[#This Row],[Support Per $1,000 in Personal Income 2022]])=0,_xlfn.RANK.AVG(RawData[[#This Row],[Support Per $1,000 in Personal Income 2022]],RawData[Support Per $1,000 in Personal Income 2022]),"")</f>
        <v>1</v>
      </c>
      <c r="L32">
        <f>IF(COUNTBLANK(RawData[[#This Row],[ CUNY_ASAP]])=0,_xlfn.RANK.AVG(RawData[[#This Row],[ CUNY_ASAP]],RawData[ CUNY_ASAP]),"")</f>
        <v>47</v>
      </c>
      <c r="M32">
        <f>IF(COUNTBLANK(RawData[[#This Row],[Total State financial aid spending per high school graduate ]])=0,_xlfn.RANK.AVG(RawData[[#This Row],[Total State financial aid spending per high school graduate ]],RawData[[Total State financial aid spending per high school graduate ]]),"")</f>
        <v>1</v>
      </c>
      <c r="N32" s="31"/>
      <c r="O32">
        <f t="shared" si="0"/>
        <v>47</v>
      </c>
      <c r="P32">
        <f t="shared" si="1"/>
        <v>26</v>
      </c>
      <c r="Q32" s="31"/>
      <c r="R32">
        <f t="shared" si="2"/>
        <v>36.5</v>
      </c>
      <c r="S32">
        <f t="shared" si="3"/>
        <v>4</v>
      </c>
      <c r="T32" s="31"/>
      <c r="U32">
        <f>IF(A32='State Detail'!BM$7,1,0)</f>
        <v>0</v>
      </c>
      <c r="V32" s="24" t="e">
        <f t="shared" si="4"/>
        <v>#N/A</v>
      </c>
      <c r="W32" s="24" t="e">
        <f t="shared" si="5"/>
        <v>#N/A</v>
      </c>
      <c r="X32" s="31"/>
      <c r="Y32">
        <f>IF(COUNTBLANK(RawData[[#This Row],[General Public Operations]])=0,_xlfn.RANK.AVG(RawData[[#This Row],[General Public Operations]],RawData[General Public Operations]),"")</f>
        <v>29</v>
      </c>
      <c r="Z32">
        <f>IF(COUNTBLANK(RawData[[#This Row],[10 Year Percentage Change in State Support per FTE]])=0,_xlfn.RANK.AVG(RawData[[#This Row],[10 Year Percentage Change in State Support per FTE]],RawData[10 Year Percentage Change in State Support per FTE]),"")</f>
        <v>3</v>
      </c>
      <c r="AA32">
        <f>IF(COUNTBLANK(RawData[[#This Row],[Support Per $1,000 in Personal Income Percent Change since 2012]])=0,_xlfn.RANK.AVG(RawData[[#This Row],[Support Per $1,000 in Personal Income Percent Change since 2012]],RawData[Support Per $1,000 in Personal Income Percent Change since 2012]),"")</f>
        <v>19.5</v>
      </c>
    </row>
    <row r="33" spans="1:27" x14ac:dyDescent="0.35">
      <c r="A33" s="29" t="s">
        <v>130</v>
      </c>
      <c r="B33" s="30" t="s">
        <v>131</v>
      </c>
      <c r="C33">
        <f>IF(COUNTBLANK(RawData[[#This Row],[Need-based aid (2023)]])=0,_xlfn.RANK.AVG(RawData[[#This Row],[Need-based aid (2023)]],RawData[Need-based aid (2023)]),"")</f>
        <v>4</v>
      </c>
      <c r="D33">
        <f>IF(COUNTBLANK(RawData[[#This Row],[Non-need based aid (2023)]])=0,_xlfn.RANK.AVG(RawData[[#This Row],[Non-need based aid (2023)]],RawData[Non-need based aid (2023)]),"")</f>
        <v>14</v>
      </c>
      <c r="E33">
        <f>IF(COUNTBLANK(RawData[[#This Row],[Non-grant aid (2023)]])=0,_xlfn.RANK.AVG(RawData[[#This Row],[Non-grant aid (2023)]],RawData[Non-grant aid (2023)]),"")</f>
        <v>4</v>
      </c>
      <c r="F33">
        <f>IF(COUNTBLANK(RawData[[#This Row],[Total State Aid]])=0,_xlfn.RANK.AVG(RawData[[#This Row],[Total State Aid]],RawData[Total State Aid]),"")</f>
        <v>6</v>
      </c>
      <c r="G33">
        <f>IF(COUNTBLANK(RawData[[#This Row],[Total State and Local Support Excluding Federal Stimulus 2023]])=0,_xlfn.RANK.AVG(RawData[[#This Row],[Total State and Local Support Excluding Federal Stimulus 2023]],RawData[Total State and Local Support Excluding Federal Stimulus 2023]),"")</f>
        <v>3</v>
      </c>
      <c r="H33">
        <f>IF(COUNTBLANK(RawData[[#This Row],[Gross FTE Enrollment 2023]])=0,_xlfn.RANK.AVG(RawData[[#This Row],[Gross FTE Enrollment 2023]],RawData[Gross FTE Enrollment 2023]),"")</f>
        <v>4</v>
      </c>
      <c r="I33">
        <f>IF(COUNTBLANK(RawData[[#This Row],[Public high school graduates, 2022-23]])=0,_xlfn.RANK.AVG(RawData[[#This Row],[Public high school graduates, 2022-23]],RawData[Public high school graduates, 2022-23]),"")</f>
        <v>4</v>
      </c>
      <c r="J33">
        <f>IF(COUNTBLANK(RawData[[#This Row],[State Support per FTE 2023]])=0,_xlfn.RANK.AVG(RawData[[#This Row],[State Support per FTE 2023]],RawData[State Support per FTE 2023]),"")</f>
        <v>7</v>
      </c>
      <c r="K33">
        <f>IF(COUNTBLANK(RawData[[#This Row],[Support Per $1,000 in Personal Income 2022]])=0,_xlfn.RANK.AVG(RawData[[#This Row],[Support Per $1,000 in Personal Income 2022]],RawData[Support Per $1,000 in Personal Income 2022]),"")</f>
        <v>32</v>
      </c>
      <c r="L33">
        <f>IF(COUNTBLANK(RawData[[#This Row],[ CUNY_ASAP]])=0,_xlfn.RANK.AVG(RawData[[#This Row],[ CUNY_ASAP]],RawData[ CUNY_ASAP]),"")</f>
        <v>20</v>
      </c>
      <c r="M33">
        <f>IF(COUNTBLANK(RawData[[#This Row],[Total State financial aid spending per high school graduate ]])=0,_xlfn.RANK.AVG(RawData[[#This Row],[Total State financial aid spending per high school graduate ]],RawData[[Total State financial aid spending per high school graduate ]]),"")</f>
        <v>17</v>
      </c>
      <c r="N33" s="31"/>
      <c r="O33">
        <f t="shared" si="0"/>
        <v>30.5</v>
      </c>
      <c r="P33">
        <f t="shared" si="1"/>
        <v>31.5</v>
      </c>
      <c r="Q33" s="31"/>
      <c r="R33">
        <f t="shared" si="2"/>
        <v>31</v>
      </c>
      <c r="S33">
        <f t="shared" si="3"/>
        <v>10</v>
      </c>
      <c r="T33" s="31"/>
      <c r="U33">
        <f>IF(A33='State Detail'!BM$7,1,0)</f>
        <v>0</v>
      </c>
      <c r="V33" s="24" t="e">
        <f t="shared" si="4"/>
        <v>#N/A</v>
      </c>
      <c r="W33" s="24" t="e">
        <f t="shared" si="5"/>
        <v>#N/A</v>
      </c>
      <c r="X33" s="31"/>
      <c r="Y33">
        <f>IF(COUNTBLANK(RawData[[#This Row],[General Public Operations]])=0,_xlfn.RANK.AVG(RawData[[#This Row],[General Public Operations]],RawData[General Public Operations]),"")</f>
        <v>3</v>
      </c>
      <c r="Z33">
        <f>IF(COUNTBLANK(RawData[[#This Row],[10 Year Percentage Change in State Support per FTE]])=0,_xlfn.RANK.AVG(RawData[[#This Row],[10 Year Percentage Change in State Support per FTE]],RawData[10 Year Percentage Change in State Support per FTE]),"")</f>
        <v>25</v>
      </c>
      <c r="AA33">
        <f>IF(COUNTBLANK(RawData[[#This Row],[Support Per $1,000 in Personal Income Percent Change since 2012]])=0,_xlfn.RANK.AVG(RawData[[#This Row],[Support Per $1,000 in Personal Income Percent Change since 2012]],RawData[Support Per $1,000 in Personal Income Percent Change since 2012]),"")</f>
        <v>31</v>
      </c>
    </row>
    <row r="34" spans="1:27" x14ac:dyDescent="0.35">
      <c r="A34" s="29" t="s">
        <v>134</v>
      </c>
      <c r="B34" s="30" t="s">
        <v>135</v>
      </c>
      <c r="C34">
        <f>IF(COUNTBLANK(RawData[[#This Row],[Need-based aid (2023)]])=0,_xlfn.RANK.AVG(RawData[[#This Row],[Need-based aid (2023)]],RawData[Need-based aid (2023)]),"")</f>
        <v>11</v>
      </c>
      <c r="D34">
        <f>IF(COUNTBLANK(RawData[[#This Row],[Non-need based aid (2023)]])=0,_xlfn.RANK.AVG(RawData[[#This Row],[Non-need based aid (2023)]],RawData[Non-need based aid (2023)]),"")</f>
        <v>31</v>
      </c>
      <c r="E34">
        <f>IF(COUNTBLANK(RawData[[#This Row],[Non-grant aid (2023)]])=0,_xlfn.RANK.AVG(RawData[[#This Row],[Non-grant aid (2023)]],RawData[Non-grant aid (2023)]),"")</f>
        <v>15</v>
      </c>
      <c r="F34">
        <f>IF(COUNTBLANK(RawData[[#This Row],[Total State Aid]])=0,_xlfn.RANK.AVG(RawData[[#This Row],[Total State Aid]],RawData[Total State Aid]),"")</f>
        <v>17</v>
      </c>
      <c r="G34">
        <f>IF(COUNTBLANK(RawData[[#This Row],[Total State and Local Support Excluding Federal Stimulus 2023]])=0,_xlfn.RANK.AVG(RawData[[#This Row],[Total State and Local Support Excluding Federal Stimulus 2023]],RawData[Total State and Local Support Excluding Federal Stimulus 2023]),"")</f>
        <v>6</v>
      </c>
      <c r="H34">
        <f>IF(COUNTBLANK(RawData[[#This Row],[Gross FTE Enrollment 2023]])=0,_xlfn.RANK.AVG(RawData[[#This Row],[Gross FTE Enrollment 2023]],RawData[Gross FTE Enrollment 2023]),"")</f>
        <v>5</v>
      </c>
      <c r="I34">
        <f>IF(COUNTBLANK(RawData[[#This Row],[Public high school graduates, 2022-23]])=0,_xlfn.RANK.AVG(RawData[[#This Row],[Public high school graduates, 2022-23]],RawData[Public high school graduates, 2022-23]),"")</f>
        <v>9</v>
      </c>
      <c r="J34">
        <f>IF(COUNTBLANK(RawData[[#This Row],[State Support per FTE 2023]])=0,_xlfn.RANK.AVG(RawData[[#This Row],[State Support per FTE 2023]],RawData[State Support per FTE 2023]),"")</f>
        <v>14</v>
      </c>
      <c r="K34">
        <f>IF(COUNTBLANK(RawData[[#This Row],[Support Per $1,000 in Personal Income 2022]])=0,_xlfn.RANK.AVG(RawData[[#This Row],[Support Per $1,000 in Personal Income 2022]],RawData[Support Per $1,000 in Personal Income 2022]),"")</f>
        <v>3</v>
      </c>
      <c r="L34">
        <f>IF(COUNTBLANK(RawData[[#This Row],[ CUNY_ASAP]])=0,_xlfn.RANK.AVG(RawData[[#This Row],[ CUNY_ASAP]],RawData[ CUNY_ASAP]),"")</f>
        <v>12</v>
      </c>
      <c r="M34">
        <f>IF(COUNTBLANK(RawData[[#This Row],[Total State financial aid spending per high school graduate ]])=0,_xlfn.RANK.AVG(RawData[[#This Row],[Total State financial aid spending per high school graduate ]],RawData[[Total State financial aid spending per high school graduate ]]),"")</f>
        <v>30</v>
      </c>
      <c r="N34" s="31"/>
      <c r="O34">
        <f t="shared" si="0"/>
        <v>41.5</v>
      </c>
      <c r="P34">
        <f t="shared" si="1"/>
        <v>29</v>
      </c>
      <c r="Q34" s="31"/>
      <c r="R34">
        <f t="shared" si="2"/>
        <v>35.25</v>
      </c>
      <c r="S34">
        <f t="shared" si="3"/>
        <v>5</v>
      </c>
      <c r="T34" s="31"/>
      <c r="U34">
        <f>IF(A34='State Detail'!BM$7,1,0)</f>
        <v>0</v>
      </c>
      <c r="V34" s="24" t="e">
        <f t="shared" si="4"/>
        <v>#N/A</v>
      </c>
      <c r="W34" s="24" t="e">
        <f t="shared" si="5"/>
        <v>#N/A</v>
      </c>
      <c r="X34" s="31"/>
      <c r="Y34">
        <f>IF(COUNTBLANK(RawData[[#This Row],[General Public Operations]])=0,_xlfn.RANK.AVG(RawData[[#This Row],[General Public Operations]],RawData[General Public Operations]),"")</f>
        <v>6</v>
      </c>
      <c r="Z34">
        <f>IF(COUNTBLANK(RawData[[#This Row],[10 Year Percentage Change in State Support per FTE]])=0,_xlfn.RANK.AVG(RawData[[#This Row],[10 Year Percentage Change in State Support per FTE]],RawData[10 Year Percentage Change in State Support per FTE]),"")</f>
        <v>31</v>
      </c>
      <c r="AA34">
        <f>IF(COUNTBLANK(RawData[[#This Row],[Support Per $1,000 in Personal Income Percent Change since 2012]])=0,_xlfn.RANK.AVG(RawData[[#This Row],[Support Per $1,000 in Personal Income Percent Change since 2012]],RawData[Support Per $1,000 in Personal Income Percent Change since 2012]),"")</f>
        <v>32</v>
      </c>
    </row>
    <row r="35" spans="1:27" x14ac:dyDescent="0.35">
      <c r="A35" s="29" t="s">
        <v>137</v>
      </c>
      <c r="B35" s="30" t="s">
        <v>138</v>
      </c>
      <c r="C35">
        <f>IF(COUNTBLANK(RawData[[#This Row],[Need-based aid (2023)]])=0,_xlfn.RANK.AVG(RawData[[#This Row],[Need-based aid (2023)]],RawData[Need-based aid (2023)]),"")</f>
        <v>41</v>
      </c>
      <c r="D35">
        <f>IF(COUNTBLANK(RawData[[#This Row],[Non-need based aid (2023)]])=0,_xlfn.RANK.AVG(RawData[[#This Row],[Non-need based aid (2023)]],RawData[Non-need based aid (2023)]),"")</f>
        <v>23</v>
      </c>
      <c r="E35">
        <f>IF(COUNTBLANK(RawData[[#This Row],[Non-grant aid (2023)]])=0,_xlfn.RANK.AVG(RawData[[#This Row],[Non-grant aid (2023)]],RawData[Non-grant aid (2023)]),"")</f>
        <v>34</v>
      </c>
      <c r="F35">
        <f>IF(COUNTBLANK(RawData[[#This Row],[Total State Aid]])=0,_xlfn.RANK.AVG(RawData[[#This Row],[Total State Aid]],RawData[Total State Aid]),"")</f>
        <v>41</v>
      </c>
      <c r="G35">
        <f>IF(COUNTBLANK(RawData[[#This Row],[Total State and Local Support Excluding Federal Stimulus 2023]])=0,_xlfn.RANK.AVG(RawData[[#This Row],[Total State and Local Support Excluding Federal Stimulus 2023]],RawData[Total State and Local Support Excluding Federal Stimulus 2023]),"")</f>
        <v>42</v>
      </c>
      <c r="H35">
        <f>IF(COUNTBLANK(RawData[[#This Row],[Gross FTE Enrollment 2023]])=0,_xlfn.RANK.AVG(RawData[[#This Row],[Gross FTE Enrollment 2023]],RawData[Gross FTE Enrollment 2023]),"")</f>
        <v>42</v>
      </c>
      <c r="I35">
        <f>IF(COUNTBLANK(RawData[[#This Row],[Public high school graduates, 2022-23]])=0,_xlfn.RANK.AVG(RawData[[#This Row],[Public high school graduates, 2022-23]],RawData[Public high school graduates, 2022-23]),"")</f>
        <v>48</v>
      </c>
      <c r="J35">
        <f>IF(COUNTBLANK(RawData[[#This Row],[State Support per FTE 2023]])=0,_xlfn.RANK.AVG(RawData[[#This Row],[State Support per FTE 2023]],RawData[State Support per FTE 2023]),"")</f>
        <v>18</v>
      </c>
      <c r="K35">
        <f>IF(COUNTBLANK(RawData[[#This Row],[Support Per $1,000 in Personal Income 2022]])=0,_xlfn.RANK.AVG(RawData[[#This Row],[Support Per $1,000 in Personal Income 2022]],RawData[Support Per $1,000 in Personal Income 2022]),"")</f>
        <v>9</v>
      </c>
      <c r="L35">
        <f>IF(COUNTBLANK(RawData[[#This Row],[ CUNY_ASAP]])=0,_xlfn.RANK.AVG(RawData[[#This Row],[ CUNY_ASAP]],RawData[ CUNY_ASAP]),"")</f>
        <v>34</v>
      </c>
      <c r="M35">
        <f>IF(COUNTBLANK(RawData[[#This Row],[Total State financial aid spending per high school graduate ]])=0,_xlfn.RANK.AVG(RawData[[#This Row],[Total State financial aid spending per high school graduate ]],RawData[[Total State financial aid spending per high school graduate ]]),"")</f>
        <v>24</v>
      </c>
      <c r="N35" s="31"/>
      <c r="O35">
        <f t="shared" si="0"/>
        <v>36.5</v>
      </c>
      <c r="P35">
        <f t="shared" si="1"/>
        <v>21</v>
      </c>
      <c r="Q35" s="31"/>
      <c r="R35">
        <f t="shared" si="2"/>
        <v>28.75</v>
      </c>
      <c r="S35">
        <f t="shared" si="3"/>
        <v>16</v>
      </c>
      <c r="T35" s="31"/>
      <c r="U35">
        <f>IF(A35='State Detail'!BM$7,1,0)</f>
        <v>0</v>
      </c>
      <c r="V35" s="24" t="e">
        <f t="shared" si="4"/>
        <v>#N/A</v>
      </c>
      <c r="W35" s="24" t="e">
        <f t="shared" si="5"/>
        <v>#N/A</v>
      </c>
      <c r="X35" s="31"/>
      <c r="Y35">
        <f>IF(COUNTBLANK(RawData[[#This Row],[General Public Operations]])=0,_xlfn.RANK.AVG(RawData[[#This Row],[General Public Operations]],RawData[General Public Operations]),"")</f>
        <v>41</v>
      </c>
      <c r="Z35">
        <f>IF(COUNTBLANK(RawData[[#This Row],[10 Year Percentage Change in State Support per FTE]])=0,_xlfn.RANK.AVG(RawData[[#This Row],[10 Year Percentage Change in State Support per FTE]],RawData[10 Year Percentage Change in State Support per FTE]),"")</f>
        <v>50</v>
      </c>
      <c r="AA35">
        <f>IF(COUNTBLANK(RawData[[#This Row],[Support Per $1,000 in Personal Income Percent Change since 2012]])=0,_xlfn.RANK.AVG(RawData[[#This Row],[Support Per $1,000 in Personal Income Percent Change since 2012]],RawData[Support Per $1,000 in Personal Income Percent Change since 2012]),"")</f>
        <v>46</v>
      </c>
    </row>
    <row r="36" spans="1:27" x14ac:dyDescent="0.35">
      <c r="A36" s="29" t="s">
        <v>139</v>
      </c>
      <c r="B36" s="30" t="s">
        <v>140</v>
      </c>
      <c r="C36">
        <f>IF(COUNTBLANK(RawData[[#This Row],[Need-based aid (2023)]])=0,_xlfn.RANK.AVG(RawData[[#This Row],[Need-based aid (2023)]],RawData[Need-based aid (2023)]),"")</f>
        <v>21</v>
      </c>
      <c r="D36">
        <f>IF(COUNTBLANK(RawData[[#This Row],[Non-need based aid (2023)]])=0,_xlfn.RANK.AVG(RawData[[#This Row],[Non-need based aid (2023)]],RawData[Non-need based aid (2023)]),"")</f>
        <v>11</v>
      </c>
      <c r="E36">
        <f>IF(COUNTBLANK(RawData[[#This Row],[Non-grant aid (2023)]])=0,_xlfn.RANK.AVG(RawData[[#This Row],[Non-grant aid (2023)]],RawData[Non-grant aid (2023)]),"")</f>
        <v>26</v>
      </c>
      <c r="F36">
        <f>IF(COUNTBLANK(RawData[[#This Row],[Total State Aid]])=0,_xlfn.RANK.AVG(RawData[[#This Row],[Total State Aid]],RawData[Total State Aid]),"")</f>
        <v>23</v>
      </c>
      <c r="G36">
        <f>IF(COUNTBLANK(RawData[[#This Row],[Total State and Local Support Excluding Federal Stimulus 2023]])=0,_xlfn.RANK.AVG(RawData[[#This Row],[Total State and Local Support Excluding Federal Stimulus 2023]],RawData[Total State and Local Support Excluding Federal Stimulus 2023]),"")</f>
        <v>14</v>
      </c>
      <c r="H36">
        <f>IF(COUNTBLANK(RawData[[#This Row],[Gross FTE Enrollment 2023]])=0,_xlfn.RANK.AVG(RawData[[#This Row],[Gross FTE Enrollment 2023]],RawData[Gross FTE Enrollment 2023]),"")</f>
        <v>7</v>
      </c>
      <c r="I36">
        <f>IF(COUNTBLANK(RawData[[#This Row],[Public high school graduates, 2022-23]])=0,_xlfn.RANK.AVG(RawData[[#This Row],[Public high school graduates, 2022-23]],RawData[Public high school graduates, 2022-23]),"")</f>
        <v>7</v>
      </c>
      <c r="J36">
        <f>IF(COUNTBLANK(RawData[[#This Row],[State Support per FTE 2023]])=0,_xlfn.RANK.AVG(RawData[[#This Row],[State Support per FTE 2023]],RawData[State Support per FTE 2023]),"")</f>
        <v>47</v>
      </c>
      <c r="K36">
        <f>IF(COUNTBLANK(RawData[[#This Row],[Support Per $1,000 in Personal Income 2022]])=0,_xlfn.RANK.AVG(RawData[[#This Row],[Support Per $1,000 in Personal Income 2022]],RawData[Support Per $1,000 in Personal Income 2022]),"")</f>
        <v>42</v>
      </c>
      <c r="L36">
        <f>IF(COUNTBLANK(RawData[[#This Row],[ CUNY_ASAP]])=0,_xlfn.RANK.AVG(RawData[[#This Row],[ CUNY_ASAP]],RawData[ CUNY_ASAP]),"")</f>
        <v>26</v>
      </c>
      <c r="M36">
        <f>IF(COUNTBLANK(RawData[[#This Row],[Total State financial aid spending per high school graduate ]])=0,_xlfn.RANK.AVG(RawData[[#This Row],[Total State financial aid spending per high school graduate ]],RawData[[Total State financial aid spending per high school graduate ]]),"")</f>
        <v>41</v>
      </c>
      <c r="N36" s="31"/>
      <c r="O36">
        <f t="shared" si="0"/>
        <v>5.5</v>
      </c>
      <c r="P36">
        <f t="shared" si="1"/>
        <v>16.5</v>
      </c>
      <c r="Q36" s="31"/>
      <c r="R36">
        <f t="shared" si="2"/>
        <v>11</v>
      </c>
      <c r="S36">
        <f t="shared" si="3"/>
        <v>47</v>
      </c>
      <c r="T36" s="31"/>
      <c r="U36">
        <f>IF(A36='State Detail'!BM$7,1,0)</f>
        <v>0</v>
      </c>
      <c r="V36" s="24" t="e">
        <f t="shared" si="4"/>
        <v>#N/A</v>
      </c>
      <c r="W36" s="24" t="e">
        <f t="shared" si="5"/>
        <v>#N/A</v>
      </c>
      <c r="X36" s="31"/>
      <c r="Y36">
        <f>IF(COUNTBLANK(RawData[[#This Row],[General Public Operations]])=0,_xlfn.RANK.AVG(RawData[[#This Row],[General Public Operations]],RawData[General Public Operations]),"")</f>
        <v>13</v>
      </c>
      <c r="Z36">
        <f>IF(COUNTBLANK(RawData[[#This Row],[10 Year Percentage Change in State Support per FTE]])=0,_xlfn.RANK.AVG(RawData[[#This Row],[10 Year Percentage Change in State Support per FTE]],RawData[10 Year Percentage Change in State Support per FTE]),"")</f>
        <v>39</v>
      </c>
      <c r="AA36">
        <f>IF(COUNTBLANK(RawData[[#This Row],[Support Per $1,000 in Personal Income Percent Change since 2012]])=0,_xlfn.RANK.AVG(RawData[[#This Row],[Support Per $1,000 in Personal Income Percent Change since 2012]],RawData[Support Per $1,000 in Personal Income Percent Change since 2012]),"")</f>
        <v>33</v>
      </c>
    </row>
    <row r="37" spans="1:27" x14ac:dyDescent="0.35">
      <c r="A37" s="29" t="s">
        <v>142</v>
      </c>
      <c r="B37" s="30" t="s">
        <v>143</v>
      </c>
      <c r="C37">
        <f>IF(COUNTBLANK(RawData[[#This Row],[Need-based aid (2023)]])=0,_xlfn.RANK.AVG(RawData[[#This Row],[Need-based aid (2023)]],RawData[Need-based aid (2023)]),"")</f>
        <v>23</v>
      </c>
      <c r="D37">
        <f>IF(COUNTBLANK(RawData[[#This Row],[Non-need based aid (2023)]])=0,_xlfn.RANK.AVG(RawData[[#This Row],[Non-need based aid (2023)]],RawData[Non-need based aid (2023)]),"")</f>
        <v>19</v>
      </c>
      <c r="E37">
        <f>IF(COUNTBLANK(RawData[[#This Row],[Non-grant aid (2023)]])=0,_xlfn.RANK.AVG(RawData[[#This Row],[Non-grant aid (2023)]],RawData[Non-grant aid (2023)]),"")</f>
        <v>18</v>
      </c>
      <c r="F37">
        <f>IF(COUNTBLANK(RawData[[#This Row],[Total State Aid]])=0,_xlfn.RANK.AVG(RawData[[#This Row],[Total State Aid]],RawData[Total State Aid]),"")</f>
        <v>29</v>
      </c>
      <c r="G37">
        <f>IF(COUNTBLANK(RawData[[#This Row],[Total State and Local Support Excluding Federal Stimulus 2023]])=0,_xlfn.RANK.AVG(RawData[[#This Row],[Total State and Local Support Excluding Federal Stimulus 2023]],RawData[Total State and Local Support Excluding Federal Stimulus 2023]),"")</f>
        <v>35</v>
      </c>
      <c r="H37">
        <f>IF(COUNTBLANK(RawData[[#This Row],[Gross FTE Enrollment 2023]])=0,_xlfn.RANK.AVG(RawData[[#This Row],[Gross FTE Enrollment 2023]],RawData[Gross FTE Enrollment 2023]),"")</f>
        <v>28</v>
      </c>
      <c r="I37">
        <f>IF(COUNTBLANK(RawData[[#This Row],[Public high school graduates, 2022-23]])=0,_xlfn.RANK.AVG(RawData[[#This Row],[Public high school graduates, 2022-23]],RawData[Public high school graduates, 2022-23]),"")</f>
        <v>27</v>
      </c>
      <c r="J37">
        <f>IF(COUNTBLANK(RawData[[#This Row],[State Support per FTE 2023]])=0,_xlfn.RANK.AVG(RawData[[#This Row],[State Support per FTE 2023]],RawData[State Support per FTE 2023]),"")</f>
        <v>40</v>
      </c>
      <c r="K37">
        <f>IF(COUNTBLANK(RawData[[#This Row],[Support Per $1,000 in Personal Income 2022]])=0,_xlfn.RANK.AVG(RawData[[#This Row],[Support Per $1,000 in Personal Income 2022]],RawData[Support Per $1,000 in Personal Income 2022]),"")</f>
        <v>36</v>
      </c>
      <c r="L37">
        <f>IF(COUNTBLANK(RawData[[#This Row],[ CUNY_ASAP]])=0,_xlfn.RANK.AVG(RawData[[#This Row],[ CUNY_ASAP]],RawData[ CUNY_ASAP]),"")</f>
        <v>25</v>
      </c>
      <c r="M37">
        <f>IF(COUNTBLANK(RawData[[#This Row],[Total State financial aid spending per high school graduate ]])=0,_xlfn.RANK.AVG(RawData[[#This Row],[Total State financial aid spending per high school graduate ]],RawData[[Total State financial aid spending per high school graduate ]]),"")</f>
        <v>27</v>
      </c>
      <c r="N37" s="31"/>
      <c r="O37">
        <f t="shared" si="0"/>
        <v>12</v>
      </c>
      <c r="P37">
        <f t="shared" si="1"/>
        <v>24</v>
      </c>
      <c r="Q37" s="31"/>
      <c r="R37">
        <f t="shared" si="2"/>
        <v>18</v>
      </c>
      <c r="S37">
        <f t="shared" si="3"/>
        <v>40</v>
      </c>
      <c r="T37" s="31"/>
      <c r="U37">
        <f>IF(A37='State Detail'!BM$7,1,0)</f>
        <v>0</v>
      </c>
      <c r="V37" s="24" t="e">
        <f t="shared" si="4"/>
        <v>#N/A</v>
      </c>
      <c r="W37" s="24" t="e">
        <f t="shared" si="5"/>
        <v>#N/A</v>
      </c>
      <c r="X37" s="31"/>
      <c r="Y37">
        <f>IF(COUNTBLANK(RawData[[#This Row],[General Public Operations]])=0,_xlfn.RANK.AVG(RawData[[#This Row],[General Public Operations]],RawData[General Public Operations]),"")</f>
        <v>32</v>
      </c>
      <c r="Z37">
        <f>IF(COUNTBLANK(RawData[[#This Row],[10 Year Percentage Change in State Support per FTE]])=0,_xlfn.RANK.AVG(RawData[[#This Row],[10 Year Percentage Change in State Support per FTE]],RawData[10 Year Percentage Change in State Support per FTE]),"")</f>
        <v>47</v>
      </c>
      <c r="AA37">
        <f>IF(COUNTBLANK(RawData[[#This Row],[Support Per $1,000 in Personal Income Percent Change since 2012]])=0,_xlfn.RANK.AVG(RawData[[#This Row],[Support Per $1,000 in Personal Income Percent Change since 2012]],RawData[Support Per $1,000 in Personal Income Percent Change since 2012]),"")</f>
        <v>50</v>
      </c>
    </row>
    <row r="38" spans="1:27" x14ac:dyDescent="0.35">
      <c r="A38" s="29" t="s">
        <v>144</v>
      </c>
      <c r="B38" s="30" t="s">
        <v>145</v>
      </c>
      <c r="C38">
        <f>IF(COUNTBLANK(RawData[[#This Row],[Need-based aid (2023)]])=0,_xlfn.RANK.AVG(RawData[[#This Row],[Need-based aid (2023)]],RawData[Need-based aid (2023)]),"")</f>
        <v>20</v>
      </c>
      <c r="D38">
        <f>IF(COUNTBLANK(RawData[[#This Row],[Non-need based aid (2023)]])=0,_xlfn.RANK.AVG(RawData[[#This Row],[Non-need based aid (2023)]],RawData[Non-need based aid (2023)]),"")</f>
        <v>24</v>
      </c>
      <c r="E38">
        <f>IF(COUNTBLANK(RawData[[#This Row],[Non-grant aid (2023)]])=0,_xlfn.RANK.AVG(RawData[[#This Row],[Non-grant aid (2023)]],RawData[Non-grant aid (2023)]),"")</f>
        <v>5</v>
      </c>
      <c r="F38">
        <f>IF(COUNTBLANK(RawData[[#This Row],[Total State Aid]])=0,_xlfn.RANK.AVG(RawData[[#This Row],[Total State Aid]],RawData[Total State Aid]),"")</f>
        <v>18</v>
      </c>
      <c r="G38">
        <f>IF(COUNTBLANK(RawData[[#This Row],[Total State and Local Support Excluding Federal Stimulus 2023]])=0,_xlfn.RANK.AVG(RawData[[#This Row],[Total State and Local Support Excluding Federal Stimulus 2023]],RawData[Total State and Local Support Excluding Federal Stimulus 2023]),"")</f>
        <v>30</v>
      </c>
      <c r="H38">
        <f>IF(COUNTBLANK(RawData[[#This Row],[Gross FTE Enrollment 2023]])=0,_xlfn.RANK.AVG(RawData[[#This Row],[Gross FTE Enrollment 2023]],RawData[Gross FTE Enrollment 2023]),"")</f>
        <v>29</v>
      </c>
      <c r="I38">
        <f>IF(COUNTBLANK(RawData[[#This Row],[Public high school graduates, 2022-23]])=0,_xlfn.RANK.AVG(RawData[[#This Row],[Public high school graduates, 2022-23]],RawData[Public high school graduates, 2022-23]),"")</f>
        <v>29</v>
      </c>
      <c r="J38">
        <f>IF(COUNTBLANK(RawData[[#This Row],[State Support per FTE 2023]])=0,_xlfn.RANK.AVG(RawData[[#This Row],[State Support per FTE 2023]],RawData[State Support per FTE 2023]),"")</f>
        <v>23</v>
      </c>
      <c r="K38">
        <f>IF(COUNTBLANK(RawData[[#This Row],[Support Per $1,000 in Personal Income 2022]])=0,_xlfn.RANK.AVG(RawData[[#This Row],[Support Per $1,000 in Personal Income 2022]],RawData[Support Per $1,000 in Personal Income 2022]),"")</f>
        <v>28</v>
      </c>
      <c r="L38">
        <f>IF(COUNTBLANK(RawData[[#This Row],[ CUNY_ASAP]])=0,_xlfn.RANK.AVG(RawData[[#This Row],[ CUNY_ASAP]],RawData[ CUNY_ASAP]),"")</f>
        <v>36</v>
      </c>
      <c r="M38">
        <f>IF(COUNTBLANK(RawData[[#This Row],[Total State financial aid spending per high school graduate ]])=0,_xlfn.RANK.AVG(RawData[[#This Row],[Total State financial aid spending per high school graduate ]],RawData[[Total State financial aid spending per high school graduate ]]),"")</f>
        <v>10</v>
      </c>
      <c r="N38" s="31"/>
      <c r="O38">
        <f t="shared" si="0"/>
        <v>24.5</v>
      </c>
      <c r="P38">
        <f t="shared" si="1"/>
        <v>27</v>
      </c>
      <c r="Q38" s="31"/>
      <c r="R38">
        <f t="shared" si="2"/>
        <v>25.75</v>
      </c>
      <c r="S38">
        <f t="shared" si="3"/>
        <v>22</v>
      </c>
      <c r="T38" s="31"/>
      <c r="U38">
        <f>IF(A38='State Detail'!BM$7,1,0)</f>
        <v>0</v>
      </c>
      <c r="V38" s="24" t="e">
        <f t="shared" si="4"/>
        <v>#N/A</v>
      </c>
      <c r="W38" s="24" t="e">
        <f t="shared" si="5"/>
        <v>#N/A</v>
      </c>
      <c r="X38" s="31"/>
      <c r="Y38">
        <f>IF(COUNTBLANK(RawData[[#This Row],[General Public Operations]])=0,_xlfn.RANK.AVG(RawData[[#This Row],[General Public Operations]],RawData[General Public Operations]),"")</f>
        <v>28</v>
      </c>
      <c r="Z38">
        <f>IF(COUNTBLANK(RawData[[#This Row],[10 Year Percentage Change in State Support per FTE]])=0,_xlfn.RANK.AVG(RawData[[#This Row],[10 Year Percentage Change in State Support per FTE]],RawData[10 Year Percentage Change in State Support per FTE]),"")</f>
        <v>1</v>
      </c>
      <c r="AA38">
        <f>IF(COUNTBLANK(RawData[[#This Row],[Support Per $1,000 in Personal Income Percent Change since 2012]])=0,_xlfn.RANK.AVG(RawData[[#This Row],[Support Per $1,000 in Personal Income Percent Change since 2012]],RawData[Support Per $1,000 in Personal Income Percent Change since 2012]),"")</f>
        <v>11</v>
      </c>
    </row>
    <row r="39" spans="1:27" x14ac:dyDescent="0.35">
      <c r="A39" s="29" t="s">
        <v>146</v>
      </c>
      <c r="B39" s="30" t="s">
        <v>147</v>
      </c>
      <c r="C39">
        <f>IF(COUNTBLANK(RawData[[#This Row],[Need-based aid (2023)]])=0,_xlfn.RANK.AVG(RawData[[#This Row],[Need-based aid (2023)]],RawData[Need-based aid (2023)]),"")</f>
        <v>8</v>
      </c>
      <c r="D39">
        <f>IF(COUNTBLANK(RawData[[#This Row],[Non-need based aid (2023)]])=0,_xlfn.RANK.AVG(RawData[[#This Row],[Non-need based aid (2023)]],RawData[Non-need based aid (2023)]),"")</f>
        <v>30</v>
      </c>
      <c r="E39">
        <f>IF(COUNTBLANK(RawData[[#This Row],[Non-grant aid (2023)]])=0,_xlfn.RANK.AVG(RawData[[#This Row],[Non-grant aid (2023)]],RawData[Non-grant aid (2023)]),"")</f>
        <v>8</v>
      </c>
      <c r="F39">
        <f>IF(COUNTBLANK(RawData[[#This Row],[Total State Aid]])=0,_xlfn.RANK.AVG(RawData[[#This Row],[Total State Aid]],RawData[Total State Aid]),"")</f>
        <v>12</v>
      </c>
      <c r="G39">
        <f>IF(COUNTBLANK(RawData[[#This Row],[Total State and Local Support Excluding Federal Stimulus 2023]])=0,_xlfn.RANK.AVG(RawData[[#This Row],[Total State and Local Support Excluding Federal Stimulus 2023]],RawData[Total State and Local Support Excluding Federal Stimulus 2023]),"")</f>
        <v>17</v>
      </c>
      <c r="H39">
        <f>IF(COUNTBLANK(RawData[[#This Row],[Gross FTE Enrollment 2023]])=0,_xlfn.RANK.AVG(RawData[[#This Row],[Gross FTE Enrollment 2023]],RawData[Gross FTE Enrollment 2023]),"")</f>
        <v>10</v>
      </c>
      <c r="I39">
        <f>IF(COUNTBLANK(RawData[[#This Row],[Public high school graduates, 2022-23]])=0,_xlfn.RANK.AVG(RawData[[#This Row],[Public high school graduates, 2022-23]],RawData[Public high school graduates, 2022-23]),"")</f>
        <v>6</v>
      </c>
      <c r="J39">
        <f>IF(COUNTBLANK(RawData[[#This Row],[State Support per FTE 2023]])=0,_xlfn.RANK.AVG(RawData[[#This Row],[State Support per FTE 2023]],RawData[State Support per FTE 2023]),"")</f>
        <v>48</v>
      </c>
      <c r="K39">
        <f>IF(COUNTBLANK(RawData[[#This Row],[Support Per $1,000 in Personal Income 2022]])=0,_xlfn.RANK.AVG(RawData[[#This Row],[Support Per $1,000 in Personal Income 2022]],RawData[Support Per $1,000 in Personal Income 2022]),"")</f>
        <v>49</v>
      </c>
      <c r="L39">
        <f>IF(COUNTBLANK(RawData[[#This Row],[ CUNY_ASAP]])=0,_xlfn.RANK.AVG(RawData[[#This Row],[ CUNY_ASAP]],RawData[ CUNY_ASAP]),"")</f>
        <v>14</v>
      </c>
      <c r="M39">
        <f>IF(COUNTBLANK(RawData[[#This Row],[Total State financial aid spending per high school graduate ]])=0,_xlfn.RANK.AVG(RawData[[#This Row],[Total State financial aid spending per high school graduate ]],RawData[[Total State financial aid spending per high school graduate ]]),"")</f>
        <v>22</v>
      </c>
      <c r="N39" s="31"/>
      <c r="O39">
        <f t="shared" si="0"/>
        <v>1.5</v>
      </c>
      <c r="P39">
        <f t="shared" si="1"/>
        <v>32</v>
      </c>
      <c r="Q39" s="31"/>
      <c r="R39">
        <f t="shared" si="2"/>
        <v>16.75</v>
      </c>
      <c r="S39">
        <f t="shared" si="3"/>
        <v>42</v>
      </c>
      <c r="T39" s="31"/>
      <c r="U39">
        <f>IF(A39='State Detail'!BM$7,1,0)</f>
        <v>0</v>
      </c>
      <c r="V39" s="24" t="e">
        <f t="shared" si="4"/>
        <v>#N/A</v>
      </c>
      <c r="W39" s="24" t="e">
        <f t="shared" si="5"/>
        <v>#N/A</v>
      </c>
      <c r="X39" s="31"/>
      <c r="Y39">
        <f>IF(COUNTBLANK(RawData[[#This Row],[General Public Operations]])=0,_xlfn.RANK.AVG(RawData[[#This Row],[General Public Operations]],RawData[General Public Operations]),"")</f>
        <v>19</v>
      </c>
      <c r="Z39">
        <f>IF(COUNTBLANK(RawData[[#This Row],[10 Year Percentage Change in State Support per FTE]])=0,_xlfn.RANK.AVG(RawData[[#This Row],[10 Year Percentage Change in State Support per FTE]],RawData[10 Year Percentage Change in State Support per FTE]),"")</f>
        <v>27</v>
      </c>
      <c r="AA39">
        <f>IF(COUNTBLANK(RawData[[#This Row],[Support Per $1,000 in Personal Income Percent Change since 2012]])=0,_xlfn.RANK.AVG(RawData[[#This Row],[Support Per $1,000 in Personal Income Percent Change since 2012]],RawData[Support Per $1,000 in Personal Income Percent Change since 2012]),"")</f>
        <v>38</v>
      </c>
    </row>
    <row r="40" spans="1:27" x14ac:dyDescent="0.35">
      <c r="A40" s="29" t="s">
        <v>148</v>
      </c>
      <c r="B40" s="30" t="s">
        <v>149</v>
      </c>
      <c r="C40">
        <f>IF(COUNTBLANK(RawData[[#This Row],[Need-based aid (2023)]])=0,_xlfn.RANK.AVG(RawData[[#This Row],[Need-based aid (2023)]],RawData[Need-based aid (2023)]),"")</f>
        <v>42</v>
      </c>
      <c r="D40" t="str">
        <f>IF(COUNTBLANK(RawData[[#This Row],[Non-need based aid (2023)]])=0,_xlfn.RANK.AVG(RawData[[#This Row],[Non-need based aid (2023)]],RawData[Non-need based aid (2023)]),"")</f>
        <v/>
      </c>
      <c r="E40" t="str">
        <f>IF(COUNTBLANK(RawData[[#This Row],[Non-grant aid (2023)]])=0,_xlfn.RANK.AVG(RawData[[#This Row],[Non-grant aid (2023)]],RawData[Non-grant aid (2023)]),"")</f>
        <v/>
      </c>
      <c r="F40">
        <f>IF(COUNTBLANK(RawData[[#This Row],[Total State Aid]])=0,_xlfn.RANK.AVG(RawData[[#This Row],[Total State Aid]],RawData[Total State Aid]),"")</f>
        <v>46</v>
      </c>
      <c r="G40">
        <f>IF(COUNTBLANK(RawData[[#This Row],[Total State and Local Support Excluding Federal Stimulus 2023]])=0,_xlfn.RANK.AVG(RawData[[#This Row],[Total State and Local Support Excluding Federal Stimulus 2023]],RawData[Total State and Local Support Excluding Federal Stimulus 2023]),"")</f>
        <v>48</v>
      </c>
      <c r="H40">
        <f>IF(COUNTBLANK(RawData[[#This Row],[Gross FTE Enrollment 2023]])=0,_xlfn.RANK.AVG(RawData[[#This Row],[Gross FTE Enrollment 2023]],RawData[Gross FTE Enrollment 2023]),"")</f>
        <v>47</v>
      </c>
      <c r="I40">
        <f>IF(COUNTBLANK(RawData[[#This Row],[Public high school graduates, 2022-23]])=0,_xlfn.RANK.AVG(RawData[[#This Row],[Public high school graduates, 2022-23]],RawData[Public high school graduates, 2022-23]),"")</f>
        <v>44</v>
      </c>
      <c r="J40">
        <f>IF(COUNTBLANK(RawData[[#This Row],[State Support per FTE 2023]])=0,_xlfn.RANK.AVG(RawData[[#This Row],[State Support per FTE 2023]],RawData[State Support per FTE 2023]),"")</f>
        <v>41</v>
      </c>
      <c r="K40">
        <f>IF(COUNTBLANK(RawData[[#This Row],[Support Per $1,000 in Personal Income 2022]])=0,_xlfn.RANK.AVG(RawData[[#This Row],[Support Per $1,000 in Personal Income 2022]],RawData[Support Per $1,000 in Personal Income 2022]),"")</f>
        <v>47</v>
      </c>
      <c r="L40">
        <f>IF(COUNTBLANK(RawData[[#This Row],[ CUNY_ASAP]])=0,_xlfn.RANK.AVG(RawData[[#This Row],[ CUNY_ASAP]],RawData[ CUNY_ASAP]),"")</f>
        <v>1.5</v>
      </c>
      <c r="M40">
        <f>IF(COUNTBLANK(RawData[[#This Row],[Total State financial aid spending per high school graduate ]])=0,_xlfn.RANK.AVG(RawData[[#This Row],[Total State financial aid spending per high school graduate ]],RawData[[Total State financial aid spending per high school graduate ]]),"")</f>
        <v>45</v>
      </c>
      <c r="N40" s="31"/>
      <c r="O40">
        <f t="shared" si="0"/>
        <v>6</v>
      </c>
      <c r="P40">
        <f t="shared" si="1"/>
        <v>26.75</v>
      </c>
      <c r="Q40" s="31"/>
      <c r="R40">
        <f t="shared" si="2"/>
        <v>16.375</v>
      </c>
      <c r="S40">
        <f t="shared" si="3"/>
        <v>43</v>
      </c>
      <c r="T40" s="31"/>
      <c r="U40">
        <f>IF(A40='State Detail'!BM$7,1,0)</f>
        <v>0</v>
      </c>
      <c r="V40" s="24" t="e">
        <f t="shared" si="4"/>
        <v>#N/A</v>
      </c>
      <c r="W40" s="24" t="e">
        <f t="shared" si="5"/>
        <v>#N/A</v>
      </c>
      <c r="X40" s="31"/>
      <c r="Y40">
        <f>IF(COUNTBLANK(RawData[[#This Row],[General Public Operations]])=0,_xlfn.RANK.AVG(RawData[[#This Row],[General Public Operations]],RawData[General Public Operations]),"")</f>
        <v>48</v>
      </c>
      <c r="Z40">
        <f>IF(COUNTBLANK(RawData[[#This Row],[10 Year Percentage Change in State Support per FTE]])=0,_xlfn.RANK.AVG(RawData[[#This Row],[10 Year Percentage Change in State Support per FTE]],RawData[10 Year Percentage Change in State Support per FTE]),"")</f>
        <v>23</v>
      </c>
      <c r="AA40">
        <f>IF(COUNTBLANK(RawData[[#This Row],[Support Per $1,000 in Personal Income Percent Change since 2012]])=0,_xlfn.RANK.AVG(RawData[[#This Row],[Support Per $1,000 in Personal Income Percent Change since 2012]],RawData[Support Per $1,000 in Personal Income Percent Change since 2012]),"")</f>
        <v>16</v>
      </c>
    </row>
    <row r="41" spans="1:27" x14ac:dyDescent="0.35">
      <c r="A41" s="29" t="s">
        <v>150</v>
      </c>
      <c r="B41" s="30" t="s">
        <v>151</v>
      </c>
      <c r="C41">
        <f>IF(COUNTBLANK(RawData[[#This Row],[Need-based aid (2023)]])=0,_xlfn.RANK.AVG(RawData[[#This Row],[Need-based aid (2023)]],RawData[Need-based aid (2023)]),"")</f>
        <v>17</v>
      </c>
      <c r="D41">
        <f>IF(COUNTBLANK(RawData[[#This Row],[Non-need based aid (2023)]])=0,_xlfn.RANK.AVG(RawData[[#This Row],[Non-need based aid (2023)]],RawData[Non-need based aid (2023)]),"")</f>
        <v>4</v>
      </c>
      <c r="E41">
        <f>IF(COUNTBLANK(RawData[[#This Row],[Non-grant aid (2023)]])=0,_xlfn.RANK.AVG(RawData[[#This Row],[Non-grant aid (2023)]],RawData[Non-grant aid (2023)]),"")</f>
        <v>27</v>
      </c>
      <c r="F41">
        <f>IF(COUNTBLANK(RawData[[#This Row],[Total State Aid]])=0,_xlfn.RANK.AVG(RawData[[#This Row],[Total State Aid]],RawData[Total State Aid]),"")</f>
        <v>11</v>
      </c>
      <c r="G41">
        <f>IF(COUNTBLANK(RawData[[#This Row],[Total State and Local Support Excluding Federal Stimulus 2023]])=0,_xlfn.RANK.AVG(RawData[[#This Row],[Total State and Local Support Excluding Federal Stimulus 2023]],RawData[Total State and Local Support Excluding Federal Stimulus 2023]),"")</f>
        <v>24</v>
      </c>
      <c r="H41">
        <f>IF(COUNTBLANK(RawData[[#This Row],[Gross FTE Enrollment 2023]])=0,_xlfn.RANK.AVG(RawData[[#This Row],[Gross FTE Enrollment 2023]],RawData[Gross FTE Enrollment 2023]),"")</f>
        <v>21</v>
      </c>
      <c r="I41">
        <f>IF(COUNTBLANK(RawData[[#This Row],[Public high school graduates, 2022-23]])=0,_xlfn.RANK.AVG(RawData[[#This Row],[Public high school graduates, 2022-23]],RawData[Public high school graduates, 2022-23]),"")</f>
        <v>23</v>
      </c>
      <c r="J41">
        <f>IF(COUNTBLANK(RawData[[#This Row],[State Support per FTE 2023]])=0,_xlfn.RANK.AVG(RawData[[#This Row],[State Support per FTE 2023]],RawData[State Support per FTE 2023]),"")</f>
        <v>35</v>
      </c>
      <c r="K41">
        <f>IF(COUNTBLANK(RawData[[#This Row],[Support Per $1,000 in Personal Income 2022]])=0,_xlfn.RANK.AVG(RawData[[#This Row],[Support Per $1,000 in Personal Income 2022]],RawData[Support Per $1,000 in Personal Income 2022]),"")</f>
        <v>26.5</v>
      </c>
      <c r="L41">
        <f>IF(COUNTBLANK(RawData[[#This Row],[ CUNY_ASAP]])=0,_xlfn.RANK.AVG(RawData[[#This Row],[ CUNY_ASAP]],RawData[ CUNY_ASAP]),"")</f>
        <v>43</v>
      </c>
      <c r="M41">
        <f>IF(COUNTBLANK(RawData[[#This Row],[Total State financial aid spending per high school graduate ]])=0,_xlfn.RANK.AVG(RawData[[#This Row],[Total State financial aid spending per high school graduate ]],RawData[[Total State financial aid spending per high school graduate ]]),"")</f>
        <v>3</v>
      </c>
      <c r="N41" s="31"/>
      <c r="O41">
        <f t="shared" si="0"/>
        <v>19.25</v>
      </c>
      <c r="P41">
        <f t="shared" si="1"/>
        <v>27</v>
      </c>
      <c r="Q41" s="31"/>
      <c r="R41">
        <f t="shared" si="2"/>
        <v>23.125</v>
      </c>
      <c r="S41">
        <f t="shared" si="3"/>
        <v>30</v>
      </c>
      <c r="T41" s="31"/>
      <c r="U41">
        <f>IF(A41='State Detail'!BM$7,1,0)</f>
        <v>0</v>
      </c>
      <c r="V41" s="24" t="e">
        <f t="shared" si="4"/>
        <v>#N/A</v>
      </c>
      <c r="W41" s="24" t="e">
        <f t="shared" si="5"/>
        <v>#N/A</v>
      </c>
      <c r="X41" s="31"/>
      <c r="Y41">
        <f>IF(COUNTBLANK(RawData[[#This Row],[General Public Operations]])=0,_xlfn.RANK.AVG(RawData[[#This Row],[General Public Operations]],RawData[General Public Operations]),"")</f>
        <v>26</v>
      </c>
      <c r="Z41">
        <f>IF(COUNTBLANK(RawData[[#This Row],[10 Year Percentage Change in State Support per FTE]])=0,_xlfn.RANK.AVG(RawData[[#This Row],[10 Year Percentage Change in State Support per FTE]],RawData[10 Year Percentage Change in State Support per FTE]),"")</f>
        <v>18</v>
      </c>
      <c r="AA41">
        <f>IF(COUNTBLANK(RawData[[#This Row],[Support Per $1,000 in Personal Income Percent Change since 2012]])=0,_xlfn.RANK.AVG(RawData[[#This Row],[Support Per $1,000 in Personal Income Percent Change since 2012]],RawData[Support Per $1,000 in Personal Income Percent Change since 2012]),"")</f>
        <v>17</v>
      </c>
    </row>
    <row r="42" spans="1:27" x14ac:dyDescent="0.35">
      <c r="A42" s="29" t="s">
        <v>153</v>
      </c>
      <c r="B42" s="30" t="s">
        <v>154</v>
      </c>
      <c r="C42">
        <f>IF(COUNTBLANK(RawData[[#This Row],[Need-based aid (2023)]])=0,_xlfn.RANK.AVG(RawData[[#This Row],[Need-based aid (2023)]],RawData[Need-based aid (2023)]),"")</f>
        <v>49</v>
      </c>
      <c r="D42">
        <f>IF(COUNTBLANK(RawData[[#This Row],[Non-need based aid (2023)]])=0,_xlfn.RANK.AVG(RawData[[#This Row],[Non-need based aid (2023)]],RawData[Non-need based aid (2023)]),"")</f>
        <v>32</v>
      </c>
      <c r="E42" t="str">
        <f>IF(COUNTBLANK(RawData[[#This Row],[Non-grant aid (2023)]])=0,_xlfn.RANK.AVG(RawData[[#This Row],[Non-grant aid (2023)]],RawData[Non-grant aid (2023)]),"")</f>
        <v/>
      </c>
      <c r="F42">
        <f>IF(COUNTBLANK(RawData[[#This Row],[Total State Aid]])=0,_xlfn.RANK.AVG(RawData[[#This Row],[Total State Aid]],RawData[Total State Aid]),"")</f>
        <v>48</v>
      </c>
      <c r="G42">
        <f>IF(COUNTBLANK(RawData[[#This Row],[Total State and Local Support Excluding Federal Stimulus 2023]])=0,_xlfn.RANK.AVG(RawData[[#This Row],[Total State and Local Support Excluding Federal Stimulus 2023]],RawData[Total State and Local Support Excluding Federal Stimulus 2023]),"")</f>
        <v>45</v>
      </c>
      <c r="H42">
        <f>IF(COUNTBLANK(RawData[[#This Row],[Gross FTE Enrollment 2023]])=0,_xlfn.RANK.AVG(RawData[[#This Row],[Gross FTE Enrollment 2023]],RawData[Gross FTE Enrollment 2023]),"")</f>
        <v>45</v>
      </c>
      <c r="I42">
        <f>IF(COUNTBLANK(RawData[[#This Row],[Public high school graduates, 2022-23]])=0,_xlfn.RANK.AVG(RawData[[#This Row],[Public high school graduates, 2022-23]],RawData[Public high school graduates, 2022-23]),"")</f>
        <v>46</v>
      </c>
      <c r="J42">
        <f>IF(COUNTBLANK(RawData[[#This Row],[State Support per FTE 2023]])=0,_xlfn.RANK.AVG(RawData[[#This Row],[State Support per FTE 2023]],RawData[State Support per FTE 2023]),"")</f>
        <v>31</v>
      </c>
      <c r="K42">
        <f>IF(COUNTBLANK(RawData[[#This Row],[Support Per $1,000 in Personal Income 2022]])=0,_xlfn.RANK.AVG(RawData[[#This Row],[Support Per $1,000 in Personal Income 2022]],RawData[Support Per $1,000 in Personal Income 2022]),"")</f>
        <v>34</v>
      </c>
      <c r="L42">
        <f>IF(COUNTBLANK(RawData[[#This Row],[ CUNY_ASAP]])=0,_xlfn.RANK.AVG(RawData[[#This Row],[ CUNY_ASAP]],RawData[ CUNY_ASAP]),"")</f>
        <v>48</v>
      </c>
      <c r="M42">
        <f>IF(COUNTBLANK(RawData[[#This Row],[Total State financial aid spending per high school graduate ]])=0,_xlfn.RANK.AVG(RawData[[#This Row],[Total State financial aid spending per high school graduate ]],RawData[[Total State financial aid spending per high school graduate ]]),"")</f>
        <v>46</v>
      </c>
      <c r="N42" s="31"/>
      <c r="O42">
        <f t="shared" si="0"/>
        <v>17.5</v>
      </c>
      <c r="P42">
        <f t="shared" si="1"/>
        <v>3</v>
      </c>
      <c r="Q42" s="31"/>
      <c r="R42">
        <f t="shared" si="2"/>
        <v>10.25</v>
      </c>
      <c r="S42">
        <f t="shared" si="3"/>
        <v>48</v>
      </c>
      <c r="T42" s="31"/>
      <c r="U42">
        <f>IF(A42='State Detail'!BM$7,1,0)</f>
        <v>0</v>
      </c>
      <c r="V42" s="24" t="e">
        <f t="shared" si="4"/>
        <v>#N/A</v>
      </c>
      <c r="W42" s="24" t="e">
        <f t="shared" si="5"/>
        <v>#N/A</v>
      </c>
      <c r="X42" s="31"/>
      <c r="Y42">
        <f>IF(COUNTBLANK(RawData[[#This Row],[General Public Operations]])=0,_xlfn.RANK.AVG(RawData[[#This Row],[General Public Operations]],RawData[General Public Operations]),"")</f>
        <v>45</v>
      </c>
      <c r="Z42">
        <f>IF(COUNTBLANK(RawData[[#This Row],[10 Year Percentage Change in State Support per FTE]])=0,_xlfn.RANK.AVG(RawData[[#This Row],[10 Year Percentage Change in State Support per FTE]],RawData[10 Year Percentage Change in State Support per FTE]),"")</f>
        <v>16</v>
      </c>
      <c r="AA42">
        <f>IF(COUNTBLANK(RawData[[#This Row],[Support Per $1,000 in Personal Income Percent Change since 2012]])=0,_xlfn.RANK.AVG(RawData[[#This Row],[Support Per $1,000 in Personal Income Percent Change since 2012]],RawData[Support Per $1,000 in Personal Income Percent Change since 2012]),"")</f>
        <v>18</v>
      </c>
    </row>
    <row r="43" spans="1:27" x14ac:dyDescent="0.35">
      <c r="A43" s="29" t="s">
        <v>155</v>
      </c>
      <c r="B43" s="30" t="s">
        <v>156</v>
      </c>
      <c r="C43">
        <f>IF(COUNTBLANK(RawData[[#This Row],[Need-based aid (2023)]])=0,_xlfn.RANK.AVG(RawData[[#This Row],[Need-based aid (2023)]],RawData[Need-based aid (2023)]),"")</f>
        <v>16</v>
      </c>
      <c r="D43">
        <f>IF(COUNTBLANK(RawData[[#This Row],[Non-need based aid (2023)]])=0,_xlfn.RANK.AVG(RawData[[#This Row],[Non-need based aid (2023)]],RawData[Non-need based aid (2023)]),"")</f>
        <v>3</v>
      </c>
      <c r="E43">
        <f>IF(COUNTBLANK(RawData[[#This Row],[Non-grant aid (2023)]])=0,_xlfn.RANK.AVG(RawData[[#This Row],[Non-grant aid (2023)]],RawData[Non-grant aid (2023)]),"")</f>
        <v>16</v>
      </c>
      <c r="F43">
        <f>IF(COUNTBLANK(RawData[[#This Row],[Total State Aid]])=0,_xlfn.RANK.AVG(RawData[[#This Row],[Total State Aid]],RawData[Total State Aid]),"")</f>
        <v>8</v>
      </c>
      <c r="G43">
        <f>IF(COUNTBLANK(RawData[[#This Row],[Total State and Local Support Excluding Federal Stimulus 2023]])=0,_xlfn.RANK.AVG(RawData[[#This Row],[Total State and Local Support Excluding Federal Stimulus 2023]],RawData[Total State and Local Support Excluding Federal Stimulus 2023]),"")</f>
        <v>13</v>
      </c>
      <c r="H43">
        <f>IF(COUNTBLANK(RawData[[#This Row],[Gross FTE Enrollment 2023]])=0,_xlfn.RANK.AVG(RawData[[#This Row],[Gross FTE Enrollment 2023]],RawData[Gross FTE Enrollment 2023]),"")</f>
        <v>20</v>
      </c>
      <c r="I43">
        <f>IF(COUNTBLANK(RawData[[#This Row],[Public high school graduates, 2022-23]])=0,_xlfn.RANK.AVG(RawData[[#This Row],[Public high school graduates, 2022-23]],RawData[Public high school graduates, 2022-23]),"")</f>
        <v>18</v>
      </c>
      <c r="J43">
        <f>IF(COUNTBLANK(RawData[[#This Row],[State Support per FTE 2023]])=0,_xlfn.RANK.AVG(RawData[[#This Row],[State Support per FTE 2023]],RawData[State Support per FTE 2023]),"")</f>
        <v>9</v>
      </c>
      <c r="K43">
        <f>IF(COUNTBLANK(RawData[[#This Row],[Support Per $1,000 in Personal Income 2022]])=0,_xlfn.RANK.AVG(RawData[[#This Row],[Support Per $1,000 in Personal Income 2022]],RawData[Support Per $1,000 in Personal Income 2022]),"")</f>
        <v>19</v>
      </c>
      <c r="L43">
        <f>IF(COUNTBLANK(RawData[[#This Row],[ CUNY_ASAP]])=0,_xlfn.RANK.AVG(RawData[[#This Row],[ CUNY_ASAP]],RawData[ CUNY_ASAP]),"")</f>
        <v>44</v>
      </c>
      <c r="M43">
        <f>IF(COUNTBLANK(RawData[[#This Row],[Total State financial aid spending per high school graduate ]])=0,_xlfn.RANK.AVG(RawData[[#This Row],[Total State financial aid spending per high school graduate ]],RawData[[Total State financial aid spending per high school graduate ]]),"")</f>
        <v>4</v>
      </c>
      <c r="N43" s="31"/>
      <c r="O43">
        <f t="shared" si="0"/>
        <v>36</v>
      </c>
      <c r="P43">
        <f t="shared" si="1"/>
        <v>26</v>
      </c>
      <c r="Q43" s="31"/>
      <c r="R43">
        <f t="shared" si="2"/>
        <v>31</v>
      </c>
      <c r="S43">
        <f t="shared" si="3"/>
        <v>10</v>
      </c>
      <c r="T43" s="31"/>
      <c r="U43">
        <f>IF(A43='State Detail'!BM$7,1,0)</f>
        <v>0</v>
      </c>
      <c r="V43" s="24" t="e">
        <f t="shared" si="4"/>
        <v>#N/A</v>
      </c>
      <c r="W43" s="24" t="e">
        <f t="shared" si="5"/>
        <v>#N/A</v>
      </c>
      <c r="X43" s="31"/>
      <c r="Y43">
        <f>IF(COUNTBLANK(RawData[[#This Row],[General Public Operations]])=0,_xlfn.RANK.AVG(RawData[[#This Row],[General Public Operations]],RawData[General Public Operations]),"")</f>
        <v>17</v>
      </c>
      <c r="Z43">
        <f>IF(COUNTBLANK(RawData[[#This Row],[10 Year Percentage Change in State Support per FTE]])=0,_xlfn.RANK.AVG(RawData[[#This Row],[10 Year Percentage Change in State Support per FTE]],RawData[10 Year Percentage Change in State Support per FTE]),"")</f>
        <v>10</v>
      </c>
      <c r="AA43">
        <f>IF(COUNTBLANK(RawData[[#This Row],[Support Per $1,000 in Personal Income Percent Change since 2012]])=0,_xlfn.RANK.AVG(RawData[[#This Row],[Support Per $1,000 in Personal Income Percent Change since 2012]],RawData[Support Per $1,000 in Personal Income Percent Change since 2012]),"")</f>
        <v>8</v>
      </c>
    </row>
    <row r="44" spans="1:27" x14ac:dyDescent="0.35">
      <c r="A44" s="29" t="s">
        <v>158</v>
      </c>
      <c r="B44" s="30" t="s">
        <v>159</v>
      </c>
      <c r="C44">
        <f>IF(COUNTBLANK(RawData[[#This Row],[Need-based aid (2023)]])=0,_xlfn.RANK.AVG(RawData[[#This Row],[Need-based aid (2023)]],RawData[Need-based aid (2023)]),"")</f>
        <v>2</v>
      </c>
      <c r="D44" t="str">
        <f>IF(COUNTBLANK(RawData[[#This Row],[Non-need based aid (2023)]])=0,_xlfn.RANK.AVG(RawData[[#This Row],[Non-need based aid (2023)]],RawData[Non-need based aid (2023)]),"")</f>
        <v/>
      </c>
      <c r="E44">
        <f>IF(COUNTBLANK(RawData[[#This Row],[Non-grant aid (2023)]])=0,_xlfn.RANK.AVG(RawData[[#This Row],[Non-grant aid (2023)]],RawData[Non-grant aid (2023)]),"")</f>
        <v>2</v>
      </c>
      <c r="F44">
        <f>IF(COUNTBLANK(RawData[[#This Row],[Total State Aid]])=0,_xlfn.RANK.AVG(RawData[[#This Row],[Total State Aid]],RawData[Total State Aid]),"")</f>
        <v>2</v>
      </c>
      <c r="G44">
        <f>IF(COUNTBLANK(RawData[[#This Row],[Total State and Local Support Excluding Federal Stimulus 2023]])=0,_xlfn.RANK.AVG(RawData[[#This Row],[Total State and Local Support Excluding Federal Stimulus 2023]],RawData[Total State and Local Support Excluding Federal Stimulus 2023]),"")</f>
        <v>2</v>
      </c>
      <c r="H44">
        <f>IF(COUNTBLANK(RawData[[#This Row],[Gross FTE Enrollment 2023]])=0,_xlfn.RANK.AVG(RawData[[#This Row],[Gross FTE Enrollment 2023]],RawData[Gross FTE Enrollment 2023]),"")</f>
        <v>2</v>
      </c>
      <c r="I44">
        <f>IF(COUNTBLANK(RawData[[#This Row],[Public high school graduates, 2022-23]])=0,_xlfn.RANK.AVG(RawData[[#This Row],[Public high school graduates, 2022-23]],RawData[Public high school graduates, 2022-23]),"")</f>
        <v>2</v>
      </c>
      <c r="J44">
        <f>IF(COUNTBLANK(RawData[[#This Row],[State Support per FTE 2023]])=0,_xlfn.RANK.AVG(RawData[[#This Row],[State Support per FTE 2023]],RawData[State Support per FTE 2023]),"")</f>
        <v>22</v>
      </c>
      <c r="K44">
        <f>IF(COUNTBLANK(RawData[[#This Row],[Support Per $1,000 in Personal Income 2022]])=0,_xlfn.RANK.AVG(RawData[[#This Row],[Support Per $1,000 in Personal Income 2022]],RawData[Support Per $1,000 in Personal Income 2022]),"")</f>
        <v>16</v>
      </c>
      <c r="L44">
        <f>IF(COUNTBLANK(RawData[[#This Row],[ CUNY_ASAP]])=0,_xlfn.RANK.AVG(RawData[[#This Row],[ CUNY_ASAP]],RawData[ CUNY_ASAP]),"")</f>
        <v>13</v>
      </c>
      <c r="M44">
        <f>IF(COUNTBLANK(RawData[[#This Row],[Total State financial aid spending per high school graduate ]])=0,_xlfn.RANK.AVG(RawData[[#This Row],[Total State financial aid spending per high school graduate ]],RawData[[Total State financial aid spending per high school graduate ]]),"")</f>
        <v>23</v>
      </c>
      <c r="N44" s="31"/>
      <c r="O44">
        <f t="shared" si="0"/>
        <v>31</v>
      </c>
      <c r="P44">
        <f t="shared" si="1"/>
        <v>32</v>
      </c>
      <c r="Q44" s="31"/>
      <c r="R44">
        <f t="shared" si="2"/>
        <v>31.5</v>
      </c>
      <c r="S44">
        <f t="shared" si="3"/>
        <v>9</v>
      </c>
      <c r="T44" s="31"/>
      <c r="U44">
        <f>IF(A44='State Detail'!BM$7,1,0)</f>
        <v>0</v>
      </c>
      <c r="V44" s="24" t="e">
        <f t="shared" si="4"/>
        <v>#N/A</v>
      </c>
      <c r="W44" s="24" t="e">
        <f t="shared" si="5"/>
        <v>#N/A</v>
      </c>
      <c r="X44" s="31"/>
      <c r="Y44">
        <f>IF(COUNTBLANK(RawData[[#This Row],[General Public Operations]])=0,_xlfn.RANK.AVG(RawData[[#This Row],[General Public Operations]],RawData[General Public Operations]),"")</f>
        <v>2</v>
      </c>
      <c r="Z44">
        <f>IF(COUNTBLANK(RawData[[#This Row],[10 Year Percentage Change in State Support per FTE]])=0,_xlfn.RANK.AVG(RawData[[#This Row],[10 Year Percentage Change in State Support per FTE]],RawData[10 Year Percentage Change in State Support per FTE]),"")</f>
        <v>35</v>
      </c>
      <c r="AA44">
        <f>IF(COUNTBLANK(RawData[[#This Row],[Support Per $1,000 in Personal Income Percent Change since 2012]])=0,_xlfn.RANK.AVG(RawData[[#This Row],[Support Per $1,000 in Personal Income Percent Change since 2012]],RawData[Support Per $1,000 in Personal Income Percent Change since 2012]),"")</f>
        <v>27</v>
      </c>
    </row>
    <row r="45" spans="1:27" x14ac:dyDescent="0.35">
      <c r="A45" s="29" t="s">
        <v>161</v>
      </c>
      <c r="B45" s="30" t="s">
        <v>162</v>
      </c>
      <c r="C45">
        <f>IF(COUNTBLANK(RawData[[#This Row],[Need-based aid (2023)]])=0,_xlfn.RANK.AVG(RawData[[#This Row],[Need-based aid (2023)]],RawData[Need-based aid (2023)]),"")</f>
        <v>46</v>
      </c>
      <c r="D45">
        <f>IF(COUNTBLANK(RawData[[#This Row],[Non-need based aid (2023)]])=0,_xlfn.RANK.AVG(RawData[[#This Row],[Non-need based aid (2023)]],RawData[Non-need based aid (2023)]),"")</f>
        <v>26</v>
      </c>
      <c r="E45" t="str">
        <f>IF(COUNTBLANK(RawData[[#This Row],[Non-grant aid (2023)]])=0,_xlfn.RANK.AVG(RawData[[#This Row],[Non-grant aid (2023)]],RawData[Non-grant aid (2023)]),"")</f>
        <v/>
      </c>
      <c r="F45">
        <f>IF(COUNTBLANK(RawData[[#This Row],[Total State Aid]])=0,_xlfn.RANK.AVG(RawData[[#This Row],[Total State Aid]],RawData[Total State Aid]),"")</f>
        <v>45</v>
      </c>
      <c r="G45">
        <f>IF(COUNTBLANK(RawData[[#This Row],[Total State and Local Support Excluding Federal Stimulus 2023]])=0,_xlfn.RANK.AVG(RawData[[#This Row],[Total State and Local Support Excluding Federal Stimulus 2023]],RawData[Total State and Local Support Excluding Federal Stimulus 2023]),"")</f>
        <v>25</v>
      </c>
      <c r="H45">
        <f>IF(COUNTBLANK(RawData[[#This Row],[Gross FTE Enrollment 2023]])=0,_xlfn.RANK.AVG(RawData[[#This Row],[Gross FTE Enrollment 2023]],RawData[Gross FTE Enrollment 2023]),"")</f>
        <v>27</v>
      </c>
      <c r="I45">
        <f>IF(COUNTBLANK(RawData[[#This Row],[Public high school graduates, 2022-23]])=0,_xlfn.RANK.AVG(RawData[[#This Row],[Public high school graduates, 2022-23]],RawData[Public high school graduates, 2022-23]),"")</f>
        <v>26</v>
      </c>
      <c r="J45">
        <f>IF(COUNTBLANK(RawData[[#This Row],[State Support per FTE 2023]])=0,_xlfn.RANK.AVG(RawData[[#This Row],[State Support per FTE 2023]],RawData[State Support per FTE 2023]),"")</f>
        <v>21</v>
      </c>
      <c r="K45">
        <f>IF(COUNTBLANK(RawData[[#This Row],[Support Per $1,000 in Personal Income 2022]])=0,_xlfn.RANK.AVG(RawData[[#This Row],[Support Per $1,000 in Personal Income 2022]],RawData[Support Per $1,000 in Personal Income 2022]),"")</f>
        <v>12</v>
      </c>
      <c r="L45">
        <f>IF(COUNTBLANK(RawData[[#This Row],[ CUNY_ASAP]])=0,_xlfn.RANK.AVG(RawData[[#This Row],[ CUNY_ASAP]],RawData[ CUNY_ASAP]),"")</f>
        <v>38</v>
      </c>
      <c r="M45">
        <f>IF(COUNTBLANK(RawData[[#This Row],[Total State financial aid spending per high school graduate ]])=0,_xlfn.RANK.AVG(RawData[[#This Row],[Total State financial aid spending per high school graduate ]],RawData[[Total State financial aid spending per high school graduate ]]),"")</f>
        <v>49</v>
      </c>
      <c r="N45" s="31"/>
      <c r="O45">
        <f t="shared" si="0"/>
        <v>33.5</v>
      </c>
      <c r="P45">
        <f t="shared" si="1"/>
        <v>6.5</v>
      </c>
      <c r="Q45" s="31"/>
      <c r="R45">
        <f t="shared" si="2"/>
        <v>20</v>
      </c>
      <c r="S45">
        <f t="shared" si="3"/>
        <v>36</v>
      </c>
      <c r="T45" s="31"/>
      <c r="U45">
        <f>IF(A45='State Detail'!BM$7,1,0)</f>
        <v>0</v>
      </c>
      <c r="V45" s="24" t="e">
        <f t="shared" si="4"/>
        <v>#N/A</v>
      </c>
      <c r="W45" s="24" t="e">
        <f t="shared" si="5"/>
        <v>#N/A</v>
      </c>
      <c r="X45" s="31"/>
      <c r="Y45">
        <f>IF(COUNTBLANK(RawData[[#This Row],[General Public Operations]])=0,_xlfn.RANK.AVG(RawData[[#This Row],[General Public Operations]],RawData[General Public Operations]),"")</f>
        <v>20</v>
      </c>
      <c r="Z45">
        <f>IF(COUNTBLANK(RawData[[#This Row],[10 Year Percentage Change in State Support per FTE]])=0,_xlfn.RANK.AVG(RawData[[#This Row],[10 Year Percentage Change in State Support per FTE]],RawData[10 Year Percentage Change in State Support per FTE]),"")</f>
        <v>12</v>
      </c>
      <c r="AA45">
        <f>IF(COUNTBLANK(RawData[[#This Row],[Support Per $1,000 in Personal Income Percent Change since 2012]])=0,_xlfn.RANK.AVG(RawData[[#This Row],[Support Per $1,000 in Personal Income Percent Change since 2012]],RawData[Support Per $1,000 in Personal Income Percent Change since 2012]),"")</f>
        <v>12</v>
      </c>
    </row>
    <row r="46" spans="1:27" x14ac:dyDescent="0.35">
      <c r="A46" s="29" t="s">
        <v>163</v>
      </c>
      <c r="B46" s="30" t="s">
        <v>164</v>
      </c>
      <c r="C46">
        <f>IF(COUNTBLANK(RawData[[#This Row],[Need-based aid (2023)]])=0,_xlfn.RANK.AVG(RawData[[#This Row],[Need-based aid (2023)]],RawData[Need-based aid (2023)]),"")</f>
        <v>35</v>
      </c>
      <c r="D46">
        <f>IF(COUNTBLANK(RawData[[#This Row],[Non-need based aid (2023)]])=0,_xlfn.RANK.AVG(RawData[[#This Row],[Non-need based aid (2023)]],RawData[Non-need based aid (2023)]),"")</f>
        <v>42</v>
      </c>
      <c r="E46">
        <f>IF(COUNTBLANK(RawData[[#This Row],[Non-grant aid (2023)]])=0,_xlfn.RANK.AVG(RawData[[#This Row],[Non-grant aid (2023)]],RawData[Non-grant aid (2023)]),"")</f>
        <v>25</v>
      </c>
      <c r="F46">
        <f>IF(COUNTBLANK(RawData[[#This Row],[Total State Aid]])=0,_xlfn.RANK.AVG(RawData[[#This Row],[Total State Aid]],RawData[Total State Aid]),"")</f>
        <v>39</v>
      </c>
      <c r="G46">
        <f>IF(COUNTBLANK(RawData[[#This Row],[Total State and Local Support Excluding Federal Stimulus 2023]])=0,_xlfn.RANK.AVG(RawData[[#This Row],[Total State and Local Support Excluding Federal Stimulus 2023]],RawData[Total State and Local Support Excluding Federal Stimulus 2023]),"")</f>
        <v>50</v>
      </c>
      <c r="H46">
        <f>IF(COUNTBLANK(RawData[[#This Row],[Gross FTE Enrollment 2023]])=0,_xlfn.RANK.AVG(RawData[[#This Row],[Gross FTE Enrollment 2023]],RawData[Gross FTE Enrollment 2023]),"")</f>
        <v>49</v>
      </c>
      <c r="I46">
        <f>IF(COUNTBLANK(RawData[[#This Row],[Public high school graduates, 2022-23]])=0,_xlfn.RANK.AVG(RawData[[#This Row],[Public high school graduates, 2022-23]],RawData[Public high school graduates, 2022-23]),"")</f>
        <v>50</v>
      </c>
      <c r="J46">
        <f>IF(COUNTBLANK(RawData[[#This Row],[State Support per FTE 2023]])=0,_xlfn.RANK.AVG(RawData[[#This Row],[State Support per FTE 2023]],RawData[State Support per FTE 2023]),"")</f>
        <v>49</v>
      </c>
      <c r="K46">
        <f>IF(COUNTBLANK(RawData[[#This Row],[Support Per $1,000 in Personal Income 2022]])=0,_xlfn.RANK.AVG(RawData[[#This Row],[Support Per $1,000 in Personal Income 2022]],RawData[Support Per $1,000 in Personal Income 2022]),"")</f>
        <v>48</v>
      </c>
      <c r="L46">
        <f>IF(COUNTBLANK(RawData[[#This Row],[ CUNY_ASAP]])=0,_xlfn.RANK.AVG(RawData[[#This Row],[ CUNY_ASAP]],RawData[ CUNY_ASAP]),"")</f>
        <v>16</v>
      </c>
      <c r="M46">
        <f>IF(COUNTBLANK(RawData[[#This Row],[Total State financial aid spending per high school graduate ]])=0,_xlfn.RANK.AVG(RawData[[#This Row],[Total State financial aid spending per high school graduate ]],RawData[[Total State financial aid spending per high school graduate ]]),"")</f>
        <v>12</v>
      </c>
      <c r="N46" s="31"/>
      <c r="O46">
        <f t="shared" si="0"/>
        <v>1.5</v>
      </c>
      <c r="P46">
        <f t="shared" si="1"/>
        <v>36</v>
      </c>
      <c r="Q46" s="31"/>
      <c r="R46">
        <f t="shared" si="2"/>
        <v>18.75</v>
      </c>
      <c r="S46">
        <f t="shared" si="3"/>
        <v>38</v>
      </c>
      <c r="T46" s="31"/>
      <c r="U46">
        <f>IF(A46='State Detail'!BM$7,1,0)</f>
        <v>0</v>
      </c>
      <c r="V46" s="24" t="e">
        <f t="shared" si="4"/>
        <v>#N/A</v>
      </c>
      <c r="W46" s="24" t="e">
        <f t="shared" si="5"/>
        <v>#N/A</v>
      </c>
      <c r="X46" s="31"/>
      <c r="Y46">
        <f>IF(COUNTBLANK(RawData[[#This Row],[General Public Operations]])=0,_xlfn.RANK.AVG(RawData[[#This Row],[General Public Operations]],RawData[General Public Operations]),"")</f>
        <v>50</v>
      </c>
      <c r="Z46">
        <f>IF(COUNTBLANK(RawData[[#This Row],[10 Year Percentage Change in State Support per FTE]])=0,_xlfn.RANK.AVG(RawData[[#This Row],[10 Year Percentage Change in State Support per FTE]],RawData[10 Year Percentage Change in State Support per FTE]),"")</f>
        <v>29</v>
      </c>
      <c r="AA46">
        <f>IF(COUNTBLANK(RawData[[#This Row],[Support Per $1,000 in Personal Income Percent Change since 2012]])=0,_xlfn.RANK.AVG(RawData[[#This Row],[Support Per $1,000 in Personal Income Percent Change since 2012]],RawData[Support Per $1,000 in Personal Income Percent Change since 2012]),"")</f>
        <v>25</v>
      </c>
    </row>
    <row r="47" spans="1:27" x14ac:dyDescent="0.35">
      <c r="A47" s="29" t="s">
        <v>165</v>
      </c>
      <c r="B47" s="30" t="s">
        <v>166</v>
      </c>
      <c r="C47">
        <f>IF(COUNTBLANK(RawData[[#This Row],[Need-based aid (2023)]])=0,_xlfn.RANK.AVG(RawData[[#This Row],[Need-based aid (2023)]],RawData[Need-based aid (2023)]),"")</f>
        <v>3</v>
      </c>
      <c r="D47">
        <f>IF(COUNTBLANK(RawData[[#This Row],[Non-need based aid (2023)]])=0,_xlfn.RANK.AVG(RawData[[#This Row],[Non-need based aid (2023)]],RawData[Non-need based aid (2023)]),"")</f>
        <v>8</v>
      </c>
      <c r="E47">
        <f>IF(COUNTBLANK(RawData[[#This Row],[Non-grant aid (2023)]])=0,_xlfn.RANK.AVG(RawData[[#This Row],[Non-grant aid (2023)]],RawData[Non-grant aid (2023)]),"")</f>
        <v>1</v>
      </c>
      <c r="F47">
        <f>IF(COUNTBLANK(RawData[[#This Row],[Total State Aid]])=0,_xlfn.RANK.AVG(RawData[[#This Row],[Total State Aid]],RawData[Total State Aid]),"")</f>
        <v>4</v>
      </c>
      <c r="G47">
        <f>IF(COUNTBLANK(RawData[[#This Row],[Total State and Local Support Excluding Federal Stimulus 2023]])=0,_xlfn.RANK.AVG(RawData[[#This Row],[Total State and Local Support Excluding Federal Stimulus 2023]],RawData[Total State and Local Support Excluding Federal Stimulus 2023]),"")</f>
        <v>11</v>
      </c>
      <c r="H47">
        <f>IF(COUNTBLANK(RawData[[#This Row],[Gross FTE Enrollment 2023]])=0,_xlfn.RANK.AVG(RawData[[#This Row],[Gross FTE Enrollment 2023]],RawData[Gross FTE Enrollment 2023]),"")</f>
        <v>11</v>
      </c>
      <c r="I47">
        <f>IF(COUNTBLANK(RawData[[#This Row],[Public high school graduates, 2022-23]])=0,_xlfn.RANK.AVG(RawData[[#This Row],[Public high school graduates, 2022-23]],RawData[Public high school graduates, 2022-23]),"")</f>
        <v>12</v>
      </c>
      <c r="J47">
        <f>IF(COUNTBLANK(RawData[[#This Row],[State Support per FTE 2023]])=0,_xlfn.RANK.AVG(RawData[[#This Row],[State Support per FTE 2023]],RawData[State Support per FTE 2023]),"")</f>
        <v>29</v>
      </c>
      <c r="K47">
        <f>IF(COUNTBLANK(RawData[[#This Row],[Support Per $1,000 in Personal Income 2022]])=0,_xlfn.RANK.AVG(RawData[[#This Row],[Support Per $1,000 in Personal Income 2022]],RawData[Support Per $1,000 in Personal Income 2022]),"")</f>
        <v>31</v>
      </c>
      <c r="L47">
        <f>IF(COUNTBLANK(RawData[[#This Row],[ CUNY_ASAP]])=0,_xlfn.RANK.AVG(RawData[[#This Row],[ CUNY_ASAP]],RawData[ CUNY_ASAP]),"")</f>
        <v>27</v>
      </c>
      <c r="M47">
        <f>IF(COUNTBLANK(RawData[[#This Row],[Total State financial aid spending per high school graduate ]])=0,_xlfn.RANK.AVG(RawData[[#This Row],[Total State financial aid spending per high school graduate ]],RawData[[Total State financial aid spending per high school graduate ]]),"")</f>
        <v>2</v>
      </c>
      <c r="N47" s="31"/>
      <c r="O47">
        <f t="shared" si="0"/>
        <v>20</v>
      </c>
      <c r="P47">
        <f t="shared" si="1"/>
        <v>35.5</v>
      </c>
      <c r="Q47" s="31"/>
      <c r="R47">
        <f t="shared" si="2"/>
        <v>27.75</v>
      </c>
      <c r="S47">
        <f t="shared" si="3"/>
        <v>19</v>
      </c>
      <c r="T47" s="31"/>
      <c r="U47">
        <f>IF(A47='State Detail'!BM$7,1,0)</f>
        <v>0</v>
      </c>
      <c r="V47" s="24" t="e">
        <f t="shared" si="4"/>
        <v>#N/A</v>
      </c>
      <c r="W47" s="24" t="e">
        <f t="shared" si="5"/>
        <v>#N/A</v>
      </c>
      <c r="X47" s="31"/>
      <c r="Y47">
        <f>IF(COUNTBLANK(RawData[[#This Row],[General Public Operations]])=0,_xlfn.RANK.AVG(RawData[[#This Row],[General Public Operations]],RawData[General Public Operations]),"")</f>
        <v>10</v>
      </c>
      <c r="Z47">
        <f>IF(COUNTBLANK(RawData[[#This Row],[10 Year Percentage Change in State Support per FTE]])=0,_xlfn.RANK.AVG(RawData[[#This Row],[10 Year Percentage Change in State Support per FTE]],RawData[10 Year Percentage Change in State Support per FTE]),"")</f>
        <v>9</v>
      </c>
      <c r="AA47">
        <f>IF(COUNTBLANK(RawData[[#This Row],[Support Per $1,000 in Personal Income Percent Change since 2012]])=0,_xlfn.RANK.AVG(RawData[[#This Row],[Support Per $1,000 in Personal Income Percent Change since 2012]],RawData[Support Per $1,000 in Personal Income Percent Change since 2012]),"")</f>
        <v>3</v>
      </c>
    </row>
    <row r="48" spans="1:27" x14ac:dyDescent="0.35">
      <c r="A48" s="29" t="s">
        <v>167</v>
      </c>
      <c r="B48" s="30" t="s">
        <v>168</v>
      </c>
      <c r="C48">
        <f>IF(COUNTBLANK(RawData[[#This Row],[Need-based aid (2023)]])=0,_xlfn.RANK.AVG(RawData[[#This Row],[Need-based aid (2023)]],RawData[Need-based aid (2023)]),"")</f>
        <v>6</v>
      </c>
      <c r="D48">
        <f>IF(COUNTBLANK(RawData[[#This Row],[Non-need based aid (2023)]])=0,_xlfn.RANK.AVG(RawData[[#This Row],[Non-need based aid (2023)]],RawData[Non-need based aid (2023)]),"")</f>
        <v>22</v>
      </c>
      <c r="E48">
        <f>IF(COUNTBLANK(RawData[[#This Row],[Non-grant aid (2023)]])=0,_xlfn.RANK.AVG(RawData[[#This Row],[Non-grant aid (2023)]],RawData[Non-grant aid (2023)]),"")</f>
        <v>21</v>
      </c>
      <c r="F48">
        <f>IF(COUNTBLANK(RawData[[#This Row],[Total State Aid]])=0,_xlfn.RANK.AVG(RawData[[#This Row],[Total State Aid]],RawData[Total State Aid]),"")</f>
        <v>9</v>
      </c>
      <c r="G48">
        <f>IF(COUNTBLANK(RawData[[#This Row],[Total State and Local Support Excluding Federal Stimulus 2023]])=0,_xlfn.RANK.AVG(RawData[[#This Row],[Total State and Local Support Excluding Federal Stimulus 2023]],RawData[Total State and Local Support Excluding Federal Stimulus 2023]),"")</f>
        <v>15</v>
      </c>
      <c r="H48">
        <f>IF(COUNTBLANK(RawData[[#This Row],[Gross FTE Enrollment 2023]])=0,_xlfn.RANK.AVG(RawData[[#This Row],[Gross FTE Enrollment 2023]],RawData[Gross FTE Enrollment 2023]),"")</f>
        <v>17</v>
      </c>
      <c r="I48">
        <f>IF(COUNTBLANK(RawData[[#This Row],[Public high school graduates, 2022-23]])=0,_xlfn.RANK.AVG(RawData[[#This Row],[Public high school graduates, 2022-23]],RawData[Public high school graduates, 2022-23]),"")</f>
        <v>15</v>
      </c>
      <c r="J48">
        <f>IF(COUNTBLANK(RawData[[#This Row],[State Support per FTE 2023]])=0,_xlfn.RANK.AVG(RawData[[#This Row],[State Support per FTE 2023]],RawData[State Support per FTE 2023]),"")</f>
        <v>16</v>
      </c>
      <c r="K48">
        <f>IF(COUNTBLANK(RawData[[#This Row],[Support Per $1,000 in Personal Income 2022]])=0,_xlfn.RANK.AVG(RawData[[#This Row],[Support Per $1,000 in Personal Income 2022]],RawData[Support Per $1,000 in Personal Income 2022]),"")</f>
        <v>39</v>
      </c>
      <c r="L48">
        <f>IF(COUNTBLANK(RawData[[#This Row],[ CUNY_ASAP]])=0,_xlfn.RANK.AVG(RawData[[#This Row],[ CUNY_ASAP]],RawData[ CUNY_ASAP]),"")</f>
        <v>7</v>
      </c>
      <c r="M48">
        <f>IF(COUNTBLANK(RawData[[#This Row],[Total State financial aid spending per high school graduate ]])=0,_xlfn.RANK.AVG(RawData[[#This Row],[Total State financial aid spending per high school graduate ]],RawData[[Total State financial aid spending per high school graduate ]]),"")</f>
        <v>8</v>
      </c>
      <c r="N48" s="31"/>
      <c r="O48">
        <f t="shared" si="0"/>
        <v>22.5</v>
      </c>
      <c r="P48">
        <f t="shared" si="1"/>
        <v>42.5</v>
      </c>
      <c r="Q48" s="31"/>
      <c r="R48">
        <f t="shared" si="2"/>
        <v>32.5</v>
      </c>
      <c r="S48">
        <f t="shared" si="3"/>
        <v>8</v>
      </c>
      <c r="T48" s="31"/>
      <c r="U48">
        <f>IF(A48='State Detail'!BM$7,1,0)</f>
        <v>0</v>
      </c>
      <c r="V48" s="24" t="e">
        <f t="shared" si="4"/>
        <v>#N/A</v>
      </c>
      <c r="W48" s="24" t="e">
        <f t="shared" si="5"/>
        <v>#N/A</v>
      </c>
      <c r="X48" s="31"/>
      <c r="Y48">
        <f>IF(COUNTBLANK(RawData[[#This Row],[General Public Operations]])=0,_xlfn.RANK.AVG(RawData[[#This Row],[General Public Operations]],RawData[General Public Operations]),"")</f>
        <v>12</v>
      </c>
      <c r="Z48">
        <f>IF(COUNTBLANK(RawData[[#This Row],[10 Year Percentage Change in State Support per FTE]])=0,_xlfn.RANK.AVG(RawData[[#This Row],[10 Year Percentage Change in State Support per FTE]],RawData[10 Year Percentage Change in State Support per FTE]),"")</f>
        <v>4</v>
      </c>
      <c r="AA48">
        <f>IF(COUNTBLANK(RawData[[#This Row],[Support Per $1,000 in Personal Income Percent Change since 2012]])=0,_xlfn.RANK.AVG(RawData[[#This Row],[Support Per $1,000 in Personal Income Percent Change since 2012]],RawData[Support Per $1,000 in Personal Income Percent Change since 2012]),"")</f>
        <v>14</v>
      </c>
    </row>
    <row r="49" spans="1:27" x14ac:dyDescent="0.35">
      <c r="A49" s="29" t="s">
        <v>170</v>
      </c>
      <c r="B49" s="30" t="s">
        <v>171</v>
      </c>
      <c r="C49">
        <f>IF(COUNTBLANK(RawData[[#This Row],[Need-based aid (2023)]])=0,_xlfn.RANK.AVG(RawData[[#This Row],[Need-based aid (2023)]],RawData[Need-based aid (2023)]),"")</f>
        <v>29</v>
      </c>
      <c r="D49">
        <f>IF(COUNTBLANK(RawData[[#This Row],[Non-need based aid (2023)]])=0,_xlfn.RANK.AVG(RawData[[#This Row],[Non-need based aid (2023)]],RawData[Non-need based aid (2023)]),"")</f>
        <v>12</v>
      </c>
      <c r="E49">
        <f>IF(COUNTBLANK(RawData[[#This Row],[Non-grant aid (2023)]])=0,_xlfn.RANK.AVG(RawData[[#This Row],[Non-grant aid (2023)]],RawData[Non-grant aid (2023)]),"")</f>
        <v>12</v>
      </c>
      <c r="F49">
        <f>IF(COUNTBLANK(RawData[[#This Row],[Total State Aid]])=0,_xlfn.RANK.AVG(RawData[[#This Row],[Total State Aid]],RawData[Total State Aid]),"")</f>
        <v>28</v>
      </c>
      <c r="G49">
        <f>IF(COUNTBLANK(RawData[[#This Row],[Total State and Local Support Excluding Federal Stimulus 2023]])=0,_xlfn.RANK.AVG(RawData[[#This Row],[Total State and Local Support Excluding Federal Stimulus 2023]],RawData[Total State and Local Support Excluding Federal Stimulus 2023]),"")</f>
        <v>40</v>
      </c>
      <c r="H49">
        <f>IF(COUNTBLANK(RawData[[#This Row],[Gross FTE Enrollment 2023]])=0,_xlfn.RANK.AVG(RawData[[#This Row],[Gross FTE Enrollment 2023]],RawData[Gross FTE Enrollment 2023]),"")</f>
        <v>38</v>
      </c>
      <c r="I49">
        <f>IF(COUNTBLANK(RawData[[#This Row],[Public high school graduates, 2022-23]])=0,_xlfn.RANK.AVG(RawData[[#This Row],[Public high school graduates, 2022-23]],RawData[Public high school graduates, 2022-23]),"")</f>
        <v>39</v>
      </c>
      <c r="J49">
        <f>IF(COUNTBLANK(RawData[[#This Row],[State Support per FTE 2023]])=0,_xlfn.RANK.AVG(RawData[[#This Row],[State Support per FTE 2023]],RawData[State Support per FTE 2023]),"")</f>
        <v>36</v>
      </c>
      <c r="K49">
        <f>IF(COUNTBLANK(RawData[[#This Row],[Support Per $1,000 in Personal Income 2022]])=0,_xlfn.RANK.AVG(RawData[[#This Row],[Support Per $1,000 in Personal Income 2022]],RawData[Support Per $1,000 in Personal Income 2022]),"")</f>
        <v>18</v>
      </c>
      <c r="L49">
        <f>IF(COUNTBLANK(RawData[[#This Row],[ CUNY_ASAP]])=0,_xlfn.RANK.AVG(RawData[[#This Row],[ CUNY_ASAP]],RawData[ CUNY_ASAP]),"")</f>
        <v>39</v>
      </c>
      <c r="M49">
        <f>IF(COUNTBLANK(RawData[[#This Row],[Total State financial aid spending per high school graduate ]])=0,_xlfn.RANK.AVG(RawData[[#This Row],[Total State financial aid spending per high school graduate ]],RawData[[Total State financial aid spending per high school graduate ]]),"")</f>
        <v>9</v>
      </c>
      <c r="N49" s="31"/>
      <c r="O49">
        <f t="shared" si="0"/>
        <v>23</v>
      </c>
      <c r="P49">
        <f t="shared" si="1"/>
        <v>26</v>
      </c>
      <c r="Q49" s="31"/>
      <c r="R49">
        <f t="shared" si="2"/>
        <v>24.5</v>
      </c>
      <c r="S49">
        <f t="shared" si="3"/>
        <v>24</v>
      </c>
      <c r="T49" s="31"/>
      <c r="U49">
        <f>IF(A49='State Detail'!BM$7,1,0)</f>
        <v>0</v>
      </c>
      <c r="V49" s="24" t="e">
        <f t="shared" si="4"/>
        <v>#N/A</v>
      </c>
      <c r="W49" s="24" t="e">
        <f t="shared" si="5"/>
        <v>#N/A</v>
      </c>
      <c r="X49" s="31"/>
      <c r="Y49">
        <f>IF(COUNTBLANK(RawData[[#This Row],[General Public Operations]])=0,_xlfn.RANK.AVG(RawData[[#This Row],[General Public Operations]],RawData[General Public Operations]),"")</f>
        <v>43</v>
      </c>
      <c r="Z49">
        <f>IF(COUNTBLANK(RawData[[#This Row],[10 Year Percentage Change in State Support per FTE]])=0,_xlfn.RANK.AVG(RawData[[#This Row],[10 Year Percentage Change in State Support per FTE]],RawData[10 Year Percentage Change in State Support per FTE]),"")</f>
        <v>37</v>
      </c>
      <c r="AA49">
        <f>IF(COUNTBLANK(RawData[[#This Row],[Support Per $1,000 in Personal Income Percent Change since 2012]])=0,_xlfn.RANK.AVG(RawData[[#This Row],[Support Per $1,000 in Personal Income Percent Change since 2012]],RawData[Support Per $1,000 in Personal Income Percent Change since 2012]),"")</f>
        <v>45</v>
      </c>
    </row>
    <row r="50" spans="1:27" x14ac:dyDescent="0.35">
      <c r="A50" s="29" t="s">
        <v>173</v>
      </c>
      <c r="B50" s="30" t="s">
        <v>174</v>
      </c>
      <c r="C50">
        <f>IF(COUNTBLANK(RawData[[#This Row],[Need-based aid (2023)]])=0,_xlfn.RANK.AVG(RawData[[#This Row],[Need-based aid (2023)]],RawData[Need-based aid (2023)]),"")</f>
        <v>22</v>
      </c>
      <c r="D50">
        <f>IF(COUNTBLANK(RawData[[#This Row],[Non-need based aid (2023)]])=0,_xlfn.RANK.AVG(RawData[[#This Row],[Non-need based aid (2023)]],RawData[Non-need based aid (2023)]),"")</f>
        <v>34</v>
      </c>
      <c r="E50">
        <f>IF(COUNTBLANK(RawData[[#This Row],[Non-grant aid (2023)]])=0,_xlfn.RANK.AVG(RawData[[#This Row],[Non-grant aid (2023)]],RawData[Non-grant aid (2023)]),"")</f>
        <v>19</v>
      </c>
      <c r="F50">
        <f>IF(COUNTBLANK(RawData[[#This Row],[Total State Aid]])=0,_xlfn.RANK.AVG(RawData[[#This Row],[Total State Aid]],RawData[Total State Aid]),"")</f>
        <v>27</v>
      </c>
      <c r="G50">
        <f>IF(COUNTBLANK(RawData[[#This Row],[Total State and Local Support Excluding Federal Stimulus 2023]])=0,_xlfn.RANK.AVG(RawData[[#This Row],[Total State and Local Support Excluding Federal Stimulus 2023]],RawData[Total State and Local Support Excluding Federal Stimulus 2023]),"")</f>
        <v>19</v>
      </c>
      <c r="H50">
        <f>IF(COUNTBLANK(RawData[[#This Row],[Gross FTE Enrollment 2023]])=0,_xlfn.RANK.AVG(RawData[[#This Row],[Gross FTE Enrollment 2023]],RawData[Gross FTE Enrollment 2023]),"")</f>
        <v>18</v>
      </c>
      <c r="I50">
        <f>IF(COUNTBLANK(RawData[[#This Row],[Public high school graduates, 2022-23]])=0,_xlfn.RANK.AVG(RawData[[#This Row],[Public high school graduates, 2022-23]],RawData[Public high school graduates, 2022-23]),"")</f>
        <v>20</v>
      </c>
      <c r="J50">
        <f>IF(COUNTBLANK(RawData[[#This Row],[State Support per FTE 2023]])=0,_xlfn.RANK.AVG(RawData[[#This Row],[State Support per FTE 2023]],RawData[State Support per FTE 2023]),"")</f>
        <v>30</v>
      </c>
      <c r="K50">
        <f>IF(COUNTBLANK(RawData[[#This Row],[Support Per $1,000 in Personal Income 2022]])=0,_xlfn.RANK.AVG(RawData[[#This Row],[Support Per $1,000 in Personal Income 2022]],RawData[Support Per $1,000 in Personal Income 2022]),"")</f>
        <v>22</v>
      </c>
      <c r="L50">
        <f>IF(COUNTBLANK(RawData[[#This Row],[ CUNY_ASAP]])=0,_xlfn.RANK.AVG(RawData[[#This Row],[ CUNY_ASAP]],RawData[ CUNY_ASAP]),"")</f>
        <v>15</v>
      </c>
      <c r="M50">
        <f>IF(COUNTBLANK(RawData[[#This Row],[Total State financial aid spending per high school graduate ]])=0,_xlfn.RANK.AVG(RawData[[#This Row],[Total State financial aid spending per high school graduate ]],RawData[[Total State financial aid spending per high school graduate ]]),"")</f>
        <v>36</v>
      </c>
      <c r="N50" s="31"/>
      <c r="O50">
        <f t="shared" si="0"/>
        <v>24</v>
      </c>
      <c r="P50">
        <f t="shared" si="1"/>
        <v>24.5</v>
      </c>
      <c r="Q50" s="31"/>
      <c r="R50">
        <f t="shared" si="2"/>
        <v>24.25</v>
      </c>
      <c r="S50">
        <f t="shared" si="3"/>
        <v>25</v>
      </c>
      <c r="T50" s="31"/>
      <c r="U50">
        <f>IF(A50='State Detail'!BM$7,1,0)</f>
        <v>0</v>
      </c>
      <c r="V50" s="24" t="e">
        <f t="shared" si="4"/>
        <v>#N/A</v>
      </c>
      <c r="W50" s="24" t="e">
        <f t="shared" si="5"/>
        <v>#N/A</v>
      </c>
      <c r="X50" s="31"/>
      <c r="Y50">
        <f>IF(COUNTBLANK(RawData[[#This Row],[General Public Operations]])=0,_xlfn.RANK.AVG(RawData[[#This Row],[General Public Operations]],RawData[General Public Operations]),"")</f>
        <v>18</v>
      </c>
      <c r="Z50">
        <f>IF(COUNTBLANK(RawData[[#This Row],[10 Year Percentage Change in State Support per FTE]])=0,_xlfn.RANK.AVG(RawData[[#This Row],[10 Year Percentage Change in State Support per FTE]],RawData[10 Year Percentage Change in State Support per FTE]),"")</f>
        <v>40</v>
      </c>
      <c r="AA50">
        <f>IF(COUNTBLANK(RawData[[#This Row],[Support Per $1,000 in Personal Income Percent Change since 2012]])=0,_xlfn.RANK.AVG(RawData[[#This Row],[Support Per $1,000 in Personal Income Percent Change since 2012]],RawData[Support Per $1,000 in Personal Income Percent Change since 2012]),"")</f>
        <v>39</v>
      </c>
    </row>
    <row r="51" spans="1:27" x14ac:dyDescent="0.35">
      <c r="A51" s="29" t="s">
        <v>175</v>
      </c>
      <c r="B51" s="30" t="s">
        <v>176</v>
      </c>
      <c r="C51">
        <f>IF(COUNTBLANK(RawData[[#This Row],[Need-based aid (2023)]])=0,_xlfn.RANK.AVG(RawData[[#This Row],[Need-based aid (2023)]],RawData[Need-based aid (2023)]),"")</f>
        <v>40</v>
      </c>
      <c r="D51" t="str">
        <f>IF(COUNTBLANK(RawData[[#This Row],[Non-need based aid (2023)]])=0,_xlfn.RANK.AVG(RawData[[#This Row],[Non-need based aid (2023)]],RawData[Non-need based aid (2023)]),"")</f>
        <v/>
      </c>
      <c r="E51" t="str">
        <f>IF(COUNTBLANK(RawData[[#This Row],[Non-grant aid (2023)]])=0,_xlfn.RANK.AVG(RawData[[#This Row],[Non-grant aid (2023)]],RawData[Non-grant aid (2023)]),"")</f>
        <v/>
      </c>
      <c r="F51">
        <f>IF(COUNTBLANK(RawData[[#This Row],[Total State Aid]])=0,_xlfn.RANK.AVG(RawData[[#This Row],[Total State Aid]],RawData[Total State Aid]),"")</f>
        <v>44</v>
      </c>
      <c r="G51">
        <f>IF(COUNTBLANK(RawData[[#This Row],[Total State and Local Support Excluding Federal Stimulus 2023]])=0,_xlfn.RANK.AVG(RawData[[#This Row],[Total State and Local Support Excluding Federal Stimulus 2023]],RawData[Total State and Local Support Excluding Federal Stimulus 2023]),"")</f>
        <v>41</v>
      </c>
      <c r="H51">
        <f>IF(COUNTBLANK(RawData[[#This Row],[Gross FTE Enrollment 2023]])=0,_xlfn.RANK.AVG(RawData[[#This Row],[Gross FTE Enrollment 2023]],RawData[Gross FTE Enrollment 2023]),"")</f>
        <v>48</v>
      </c>
      <c r="I51">
        <f>IF(COUNTBLANK(RawData[[#This Row],[Public high school graduates, 2022-23]])=0,_xlfn.RANK.AVG(RawData[[#This Row],[Public high school graduates, 2022-23]],RawData[Public high school graduates, 2022-23]),"")</f>
        <v>49</v>
      </c>
      <c r="J51">
        <f>IF(COUNTBLANK(RawData[[#This Row],[State Support per FTE 2023]])=0,_xlfn.RANK.AVG(RawData[[#This Row],[State Support per FTE 2023]],RawData[State Support per FTE 2023]),"")</f>
        <v>6</v>
      </c>
      <c r="K51">
        <f>IF(COUNTBLANK(RawData[[#This Row],[Support Per $1,000 in Personal Income 2022]])=0,_xlfn.RANK.AVG(RawData[[#This Row],[Support Per $1,000 in Personal Income 2022]],RawData[Support Per $1,000 in Personal Income 2022]),"")</f>
        <v>2</v>
      </c>
      <c r="L51">
        <f>IF(COUNTBLANK(RawData[[#This Row],[ CUNY_ASAP]])=0,_xlfn.RANK.AVG(RawData[[#This Row],[ CUNY_ASAP]],RawData[ CUNY_ASAP]),"")</f>
        <v>1.5</v>
      </c>
      <c r="M51">
        <f>IF(COUNTBLANK(RawData[[#This Row],[Total State financial aid spending per high school graduate ]])=0,_xlfn.RANK.AVG(RawData[[#This Row],[Total State financial aid spending per high school graduate ]],RawData[[Total State financial aid spending per high school graduate ]]),"")</f>
        <v>32</v>
      </c>
      <c r="N51" s="31"/>
      <c r="O51">
        <f t="shared" si="0"/>
        <v>46</v>
      </c>
      <c r="P51">
        <f t="shared" si="1"/>
        <v>33.25</v>
      </c>
      <c r="Q51" s="31"/>
      <c r="R51">
        <f t="shared" si="2"/>
        <v>39.625</v>
      </c>
      <c r="S51">
        <f t="shared" si="3"/>
        <v>3</v>
      </c>
      <c r="T51" s="31"/>
      <c r="U51">
        <f>IF(A51='State Detail'!BM$7,1,0)</f>
        <v>0</v>
      </c>
      <c r="V51" s="24" t="e">
        <f t="shared" si="4"/>
        <v>#N/A</v>
      </c>
      <c r="W51" s="24" t="e">
        <f t="shared" si="5"/>
        <v>#N/A</v>
      </c>
      <c r="X51" s="31"/>
      <c r="Y51">
        <f>IF(COUNTBLANK(RawData[[#This Row],[General Public Operations]])=0,_xlfn.RANK.AVG(RawData[[#This Row],[General Public Operations]],RawData[General Public Operations]),"")</f>
        <v>40</v>
      </c>
      <c r="Z51">
        <f>IF(COUNTBLANK(RawData[[#This Row],[10 Year Percentage Change in State Support per FTE]])=0,_xlfn.RANK.AVG(RawData[[#This Row],[10 Year Percentage Change in State Support per FTE]],RawData[10 Year Percentage Change in State Support per FTE]),"")</f>
        <v>44</v>
      </c>
      <c r="AA51">
        <f>IF(COUNTBLANK(RawData[[#This Row],[Support Per $1,000 in Personal Income Percent Change since 2012]])=0,_xlfn.RANK.AVG(RawData[[#This Row],[Support Per $1,000 in Personal Income Percent Change since 2012]],RawData[Support Per $1,000 in Personal Income Percent Change since 2012]),"")</f>
        <v>44</v>
      </c>
    </row>
    <row r="53" spans="1:27" x14ac:dyDescent="0.35">
      <c r="C53" s="32"/>
      <c r="D53" s="32"/>
      <c r="E53" s="32"/>
      <c r="F53" s="32"/>
      <c r="G53" s="32"/>
      <c r="H53" s="32"/>
      <c r="I53" s="32"/>
      <c r="J53" s="32"/>
      <c r="K53" s="32"/>
      <c r="L53" s="32"/>
      <c r="M53" s="32"/>
      <c r="N53" s="33"/>
      <c r="O53" s="32"/>
      <c r="P53" s="32"/>
      <c r="Q53" s="33"/>
      <c r="R53" s="32"/>
      <c r="S53" s="32"/>
      <c r="T53" s="33"/>
      <c r="X53" s="33"/>
      <c r="Y53" s="32"/>
      <c r="Z53" s="32"/>
      <c r="AA53" s="32"/>
    </row>
    <row r="54" spans="1:27" x14ac:dyDescent="0.35">
      <c r="C54" s="32"/>
      <c r="D54" s="32"/>
      <c r="E54" s="32"/>
      <c r="F54" s="32"/>
      <c r="G54" s="32"/>
      <c r="H54" s="32"/>
      <c r="I54" s="32"/>
      <c r="J54" s="32"/>
      <c r="K54" s="32"/>
      <c r="L54" s="32"/>
      <c r="M54" s="32"/>
      <c r="N54" s="33"/>
      <c r="O54" s="32"/>
      <c r="P54" s="32"/>
      <c r="Q54" s="33"/>
      <c r="R54" s="32"/>
      <c r="S54" s="32"/>
      <c r="T54" s="33"/>
      <c r="X54" s="33"/>
      <c r="Y54" s="32"/>
      <c r="Z54" s="32"/>
      <c r="AA54" s="32"/>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5C15D-B7CB-4BC4-AAC4-3C892F2D12C0}">
  <dimension ref="A1:W57"/>
  <sheetViews>
    <sheetView topLeftCell="D1" workbookViewId="0">
      <selection activeCell="T2" sqref="T2"/>
    </sheetView>
  </sheetViews>
  <sheetFormatPr defaultRowHeight="14.5" x14ac:dyDescent="0.35"/>
  <cols>
    <col min="5" max="5" width="12.08984375" customWidth="1"/>
    <col min="9" max="9" width="8.90625" style="34"/>
    <col min="10" max="10" width="16.81640625" customWidth="1"/>
    <col min="11" max="11" width="17.6328125" customWidth="1"/>
    <col min="12" max="12" width="8.90625" style="34"/>
    <col min="15" max="15" width="8.90625" style="34"/>
    <col min="19" max="19" width="8.90625" style="34"/>
    <col min="20" max="20" width="12.08984375" customWidth="1"/>
  </cols>
  <sheetData>
    <row r="1" spans="1:23" s="28" customFormat="1" ht="145" x14ac:dyDescent="0.35">
      <c r="A1" s="25" t="s">
        <v>20</v>
      </c>
      <c r="B1" s="25" t="s">
        <v>22</v>
      </c>
      <c r="C1" s="25" t="s">
        <v>662</v>
      </c>
      <c r="D1" s="25" t="s">
        <v>663</v>
      </c>
      <c r="E1" s="20" t="s">
        <v>664</v>
      </c>
      <c r="F1" s="62" t="s">
        <v>659</v>
      </c>
      <c r="G1" s="26" t="s">
        <v>660</v>
      </c>
      <c r="H1" s="20" t="s">
        <v>661</v>
      </c>
      <c r="I1" s="27" t="s">
        <v>183</v>
      </c>
      <c r="J1" s="20" t="s">
        <v>208</v>
      </c>
      <c r="K1" s="20" t="s">
        <v>209</v>
      </c>
      <c r="L1" s="27" t="s">
        <v>190</v>
      </c>
      <c r="M1" s="20" t="s">
        <v>185</v>
      </c>
      <c r="N1" s="20" t="s">
        <v>186</v>
      </c>
      <c r="O1" s="27" t="s">
        <v>183</v>
      </c>
      <c r="P1" s="20" t="s">
        <v>187</v>
      </c>
      <c r="Q1" s="20" t="s">
        <v>188</v>
      </c>
      <c r="R1" s="20" t="s">
        <v>189</v>
      </c>
      <c r="S1" s="27" t="s">
        <v>183</v>
      </c>
      <c r="T1" s="20" t="s">
        <v>677</v>
      </c>
      <c r="U1" s="62" t="s">
        <v>678</v>
      </c>
      <c r="V1" s="26" t="s">
        <v>679</v>
      </c>
      <c r="W1" s="20" t="s">
        <v>680</v>
      </c>
    </row>
    <row r="2" spans="1:23" x14ac:dyDescent="0.35">
      <c r="A2" s="29" t="s">
        <v>50</v>
      </c>
      <c r="B2" s="30" t="s">
        <v>51</v>
      </c>
      <c r="C2" s="30">
        <f>IF(COUNTBLANK(RawData[[#This Row],[FTE undergrad enrollment at public 2-yrs, 2019]])=0,_xlfn.RANK.AVG(RawData[[#This Row],[FTE undergrad enrollment at public 2-yrs, 2019]],RawData[FTE undergrad enrollment at public 2-yrs, 2019],0),"")</f>
        <v>19</v>
      </c>
      <c r="D2" s="30">
        <f>IF(COUNTBLANK(RawData[[#This Row],[FTE undergrad enrollment at public 2-yrs, 2023]])=0,_xlfn.RANK.AVG(RawData[[#This Row],[FTE undergrad enrollment at public 2-yrs, 2023]],RawData[FTE undergrad enrollment at public 2-yrs, 2023],0),"")</f>
        <v>19</v>
      </c>
      <c r="E2">
        <f>IF(COUNTBLANK(RawData[[#This Row],[FTE undergrad enrollment change at public 2-yrs (%), 2019 to 2023]])=0,_xlfn.RANK.AVG(RawData[[#This Row],[FTE undergrad enrollment change at public 2-yrs (%), 2019 to 2023]],RawData[FTE undergrad enrollment change at public 2-yrs (%), 2019 to 2023],1),"")</f>
        <v>36</v>
      </c>
      <c r="F2">
        <f>IF(COUNTBLANK(RawData[[#This Row],[3-year Graduation rate, public 2-yrs (3 yr rolling avg)]])=0,_xlfn.RANK.AVG(RawData[[#This Row],[3-year Graduation rate, public 2-yrs (3 yr rolling avg)]],RawData[3-year Graduation rate, public 2-yrs (3 yr rolling avg)],1),"")</f>
        <v>23</v>
      </c>
      <c r="G2">
        <f>IF(COUNTBLANK(RawData[[#This Row],[Retention rate (Full-time), public 2-yrs (3 yr rolling avg)]])=0,_xlfn.RANK.AVG(RawData[[#This Row],[Retention rate (Full-time), public 2-yrs (3 yr rolling avg)]],RawData[Retention rate (Full-time), public 2-yrs (3 yr rolling avg)],1),"")</f>
        <v>28</v>
      </c>
      <c r="H2">
        <f>IF(COUNTBLANK(RawData[[#This Row],[Retention rate (Part-time), public 2-yrs (3 yr rolling avg)]])=0,_xlfn.RANK.AVG(RawData[[#This Row],[Retention rate (Part-time), public 2-yrs (3 yr rolling avg)]],RawData[Retention rate (Part-time), public 2-yrs (3 yr rolling avg)],1),"")</f>
        <v>22</v>
      </c>
      <c r="I2" s="31"/>
      <c r="J2">
        <f>50-(AVERAGE(E2:E2))</f>
        <v>14</v>
      </c>
      <c r="K2">
        <f>50-(AVERAGE(F2:H2))</f>
        <v>25.666666666666668</v>
      </c>
      <c r="L2" s="31"/>
      <c r="M2">
        <f>AVERAGE(J2:K2)</f>
        <v>19.833333333333336</v>
      </c>
      <c r="N2">
        <f>RANK(M2,M$2:M$51,0)</f>
        <v>34</v>
      </c>
      <c r="O2" s="31"/>
      <c r="P2">
        <f>IF(A2='State Detail'!BM$7,1,0)</f>
        <v>0</v>
      </c>
      <c r="Q2" s="24" t="e">
        <f>IF(P2=1,J2,NA())</f>
        <v>#N/A</v>
      </c>
      <c r="R2" s="24" t="e">
        <f>IF(P2=1,K2,NA())</f>
        <v>#N/A</v>
      </c>
      <c r="S2" s="31"/>
      <c r="T2">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30.5</v>
      </c>
      <c r="U2">
        <f>IF(COUNTBLANK(RawData[[#This Row],[3 Year Average Grad Rate, 150% of normal time, 4 year publics]])=0,_xlfn.RANK.AVG(RawData[[#This Row],[3 Year Average Grad Rate, 150% of normal time, 4 year publics]],RawData[3 Year Average Grad Rate, 150% of normal time, 4 year publics],1),"")</f>
        <v>25</v>
      </c>
      <c r="V2">
        <f>IF(COUNTBLANK(RawData[[#This Row],[3 Year Average full-time retention rate, 4 year publics]])=0,_xlfn.RANK.AVG(RawData[[#This Row],[3 Year Average full-time retention rate, 4 year publics]],RawData[3 Year Average full-time retention rate, 4 year publics],1),"")</f>
        <v>29</v>
      </c>
      <c r="W2">
        <f>IF(COUNTBLANK(RawData[[#This Row],[3 Year Average part-time retention rate, 4 year publics]])=0,_xlfn.RANK.AVG(RawData[[#This Row],[3 Year Average part-time retention rate, 4 year publics]],RawData[3 Year Average part-time retention rate, 4 year publics],1),"")</f>
        <v>8</v>
      </c>
    </row>
    <row r="3" spans="1:23" x14ac:dyDescent="0.35">
      <c r="A3" s="29" t="s">
        <v>54</v>
      </c>
      <c r="B3" s="30" t="s">
        <v>55</v>
      </c>
      <c r="C3" s="30" t="str">
        <f>IF(COUNTBLANK(RawData[[#This Row],[FTE undergrad enrollment at public 2-yrs, 2019]])=0,_xlfn.RANK.AVG(RawData[[#This Row],[FTE undergrad enrollment at public 2-yrs, 2019]],RawData[FTE undergrad enrollment at public 2-yrs, 2019],0),"")</f>
        <v/>
      </c>
      <c r="D3" s="30" t="str">
        <f>IF(COUNTBLANK(RawData[[#This Row],[FTE undergrad enrollment at public 2-yrs, 2023]])=0,_xlfn.RANK.AVG(RawData[[#This Row],[FTE undergrad enrollment at public 2-yrs, 2023]],RawData[FTE undergrad enrollment at public 2-yrs, 2023],0),"")</f>
        <v/>
      </c>
      <c r="E3" t="str">
        <f>IF(COUNTBLANK(RawData[[#This Row],[FTE undergrad enrollment change at public 2-yrs (%), 2019 to 2023]])=0,_xlfn.RANK.AVG(RawData[[#This Row],[FTE undergrad enrollment change at public 2-yrs (%), 2019 to 2023]],RawData[FTE undergrad enrollment change at public 2-yrs (%), 2019 to 2023],1),"")</f>
        <v/>
      </c>
      <c r="F3" t="str">
        <f>IF(COUNTBLANK(RawData[[#This Row],[3-year Graduation rate, public 2-yrs (3 yr rolling avg)]])=0,_xlfn.RANK.AVG(RawData[[#This Row],[3-year Graduation rate, public 2-yrs (3 yr rolling avg)]],RawData[3-year Graduation rate, public 2-yrs (3 yr rolling avg)],1),"")</f>
        <v/>
      </c>
      <c r="G3" t="str">
        <f>IF(COUNTBLANK(RawData[[#This Row],[Retention rate (Full-time), public 2-yrs (3 yr rolling avg)]])=0,_xlfn.RANK.AVG(RawData[[#This Row],[Retention rate (Full-time), public 2-yrs (3 yr rolling avg)]],RawData[Retention rate (Full-time), public 2-yrs (3 yr rolling avg)],1),"")</f>
        <v/>
      </c>
      <c r="H3" t="str">
        <f>IF(COUNTBLANK(RawData[[#This Row],[Retention rate (Part-time), public 2-yrs (3 yr rolling avg)]])=0,_xlfn.RANK.AVG(RawData[[#This Row],[Retention rate (Part-time), public 2-yrs (3 yr rolling avg)]],RawData[Retention rate (Part-time), public 2-yrs (3 yr rolling avg)],1),"")</f>
        <v/>
      </c>
      <c r="I3" s="31"/>
      <c r="L3" s="31"/>
      <c r="O3" s="31"/>
      <c r="P3">
        <f>IF(A3='State Detail'!BM$7,1,0)</f>
        <v>0</v>
      </c>
      <c r="Q3" s="24" t="e">
        <f t="shared" ref="Q3:Q51" si="0">IF(P3=1,J3,NA())</f>
        <v>#N/A</v>
      </c>
      <c r="R3" s="24" t="e">
        <f t="shared" ref="R3:R51" si="1">IF(P3=1,K3,NA())</f>
        <v>#N/A</v>
      </c>
      <c r="S3" s="31"/>
      <c r="T3">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1</v>
      </c>
      <c r="U3">
        <f>IF(COUNTBLANK(RawData[[#This Row],[3 Year Average Grad Rate, 150% of normal time, 4 year publics]])=0,_xlfn.RANK.AVG(RawData[[#This Row],[3 Year Average Grad Rate, 150% of normal time, 4 year publics]],RawData[3 Year Average Grad Rate, 150% of normal time, 4 year publics],1),"")</f>
        <v>1</v>
      </c>
      <c r="V3">
        <f>IF(COUNTBLANK(RawData[[#This Row],[3 Year Average full-time retention rate, 4 year publics]])=0,_xlfn.RANK.AVG(RawData[[#This Row],[3 Year Average full-time retention rate, 4 year publics]],RawData[3 Year Average full-time retention rate, 4 year publics],1),"")</f>
        <v>1</v>
      </c>
      <c r="W3">
        <f>IF(COUNTBLANK(RawData[[#This Row],[3 Year Average part-time retention rate, 4 year publics]])=0,_xlfn.RANK.AVG(RawData[[#This Row],[3 Year Average part-time retention rate, 4 year publics]],RawData[3 Year Average part-time retention rate, 4 year publics],1),"")</f>
        <v>21</v>
      </c>
    </row>
    <row r="4" spans="1:23" x14ac:dyDescent="0.35">
      <c r="A4" s="29" t="s">
        <v>56</v>
      </c>
      <c r="B4" s="30" t="s">
        <v>57</v>
      </c>
      <c r="C4" s="30">
        <f>IF(COUNTBLANK(RawData[[#This Row],[FTE undergrad enrollment at public 2-yrs, 2019]])=0,_xlfn.RANK.AVG(RawData[[#This Row],[FTE undergrad enrollment at public 2-yrs, 2019]],RawData[FTE undergrad enrollment at public 2-yrs, 2019],0),"")</f>
        <v>10</v>
      </c>
      <c r="D4" s="30">
        <f>IF(COUNTBLANK(RawData[[#This Row],[FTE undergrad enrollment at public 2-yrs, 2023]])=0,_xlfn.RANK.AVG(RawData[[#This Row],[FTE undergrad enrollment at public 2-yrs, 2023]],RawData[FTE undergrad enrollment at public 2-yrs, 2023],0),"")</f>
        <v>10</v>
      </c>
      <c r="E4">
        <f>IF(COUNTBLANK(RawData[[#This Row],[FTE undergrad enrollment change at public 2-yrs (%), 2019 to 2023]])=0,_xlfn.RANK.AVG(RawData[[#This Row],[FTE undergrad enrollment change at public 2-yrs (%), 2019 to 2023]],RawData[FTE undergrad enrollment change at public 2-yrs (%), 2019 to 2023],1),"")</f>
        <v>19</v>
      </c>
      <c r="F4">
        <f>IF(COUNTBLANK(RawData[[#This Row],[3-year Graduation rate, public 2-yrs (3 yr rolling avg)]])=0,_xlfn.RANK.AVG(RawData[[#This Row],[3-year Graduation rate, public 2-yrs (3 yr rolling avg)]],RawData[3-year Graduation rate, public 2-yrs (3 yr rolling avg)],1),"")</f>
        <v>4</v>
      </c>
      <c r="G4">
        <f>IF(COUNTBLANK(RawData[[#This Row],[Retention rate (Full-time), public 2-yrs (3 yr rolling avg)]])=0,_xlfn.RANK.AVG(RawData[[#This Row],[Retention rate (Full-time), public 2-yrs (3 yr rolling avg)]],RawData[Retention rate (Full-time), public 2-yrs (3 yr rolling avg)],1),"")</f>
        <v>35</v>
      </c>
      <c r="H4">
        <f>IF(COUNTBLANK(RawData[[#This Row],[Retention rate (Part-time), public 2-yrs (3 yr rolling avg)]])=0,_xlfn.RANK.AVG(RawData[[#This Row],[Retention rate (Part-time), public 2-yrs (3 yr rolling avg)]],RawData[Retention rate (Part-time), public 2-yrs (3 yr rolling avg)],1),"")</f>
        <v>20</v>
      </c>
      <c r="I4" s="31"/>
      <c r="J4">
        <f t="shared" ref="J4:J51" si="2">50-(AVERAGE(E4:E4))</f>
        <v>31</v>
      </c>
      <c r="K4">
        <f t="shared" ref="K4:K51" si="3">50-(AVERAGE(F4:H4))</f>
        <v>30.333333333333332</v>
      </c>
      <c r="L4" s="31"/>
      <c r="M4">
        <f t="shared" ref="M4:M51" si="4">AVERAGE(J4:K4)</f>
        <v>30.666666666666664</v>
      </c>
      <c r="N4">
        <f t="shared" ref="N4:N51" si="5">RANK(M4,M$2:M$51,0)</f>
        <v>11</v>
      </c>
      <c r="O4" s="31"/>
      <c r="P4">
        <f>IF(A4='State Detail'!BM$7,1,0)</f>
        <v>0</v>
      </c>
      <c r="Q4" s="24" t="e">
        <f t="shared" si="0"/>
        <v>#N/A</v>
      </c>
      <c r="R4" s="24" t="e">
        <f t="shared" si="1"/>
        <v>#N/A</v>
      </c>
      <c r="S4" s="31"/>
      <c r="T4">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50</v>
      </c>
      <c r="U4">
        <f>IF(COUNTBLANK(RawData[[#This Row],[3 Year Average Grad Rate, 150% of normal time, 4 year publics]])=0,_xlfn.RANK.AVG(RawData[[#This Row],[3 Year Average Grad Rate, 150% of normal time, 4 year publics]],RawData[3 Year Average Grad Rate, 150% of normal time, 4 year publics],1),"")</f>
        <v>30</v>
      </c>
      <c r="V4">
        <f>IF(COUNTBLANK(RawData[[#This Row],[3 Year Average full-time retention rate, 4 year publics]])=0,_xlfn.RANK.AVG(RawData[[#This Row],[3 Year Average full-time retention rate, 4 year publics]],RawData[3 Year Average full-time retention rate, 4 year publics],1),"")</f>
        <v>41</v>
      </c>
      <c r="W4">
        <f>IF(COUNTBLANK(RawData[[#This Row],[3 Year Average part-time retention rate, 4 year publics]])=0,_xlfn.RANK.AVG(RawData[[#This Row],[3 Year Average part-time retention rate, 4 year publics]],RawData[3 Year Average part-time retention rate, 4 year publics],1),"")</f>
        <v>40</v>
      </c>
    </row>
    <row r="5" spans="1:23" x14ac:dyDescent="0.35">
      <c r="A5" s="29" t="s">
        <v>61</v>
      </c>
      <c r="B5" s="30" t="s">
        <v>62</v>
      </c>
      <c r="C5" s="30">
        <f>IF(COUNTBLANK(RawData[[#This Row],[FTE undergrad enrollment at public 2-yrs, 2019]])=0,_xlfn.RANK.AVG(RawData[[#This Row],[FTE undergrad enrollment at public 2-yrs, 2019]],RawData[FTE undergrad enrollment at public 2-yrs, 2019],0),"")</f>
        <v>34</v>
      </c>
      <c r="D5" s="30">
        <f>IF(COUNTBLANK(RawData[[#This Row],[FTE undergrad enrollment at public 2-yrs, 2023]])=0,_xlfn.RANK.AVG(RawData[[#This Row],[FTE undergrad enrollment at public 2-yrs, 2023]],RawData[FTE undergrad enrollment at public 2-yrs, 2023],0),"")</f>
        <v>34</v>
      </c>
      <c r="E5">
        <f>IF(COUNTBLANK(RawData[[#This Row],[FTE undergrad enrollment change at public 2-yrs (%), 2019 to 2023]])=0,_xlfn.RANK.AVG(RawData[[#This Row],[FTE undergrad enrollment change at public 2-yrs (%), 2019 to 2023]],RawData[FTE undergrad enrollment change at public 2-yrs (%), 2019 to 2023],1),"")</f>
        <v>21</v>
      </c>
      <c r="F5">
        <f>IF(COUNTBLANK(RawData[[#This Row],[3-year Graduation rate, public 2-yrs (3 yr rolling avg)]])=0,_xlfn.RANK.AVG(RawData[[#This Row],[3-year Graduation rate, public 2-yrs (3 yr rolling avg)]],RawData[3-year Graduation rate, public 2-yrs (3 yr rolling avg)],1),"")</f>
        <v>37</v>
      </c>
      <c r="G5">
        <f>IF(COUNTBLANK(RawData[[#This Row],[Retention rate (Full-time), public 2-yrs (3 yr rolling avg)]])=0,_xlfn.RANK.AVG(RawData[[#This Row],[Retention rate (Full-time), public 2-yrs (3 yr rolling avg)]],RawData[Retention rate (Full-time), public 2-yrs (3 yr rolling avg)],1),"")</f>
        <v>17</v>
      </c>
      <c r="H5">
        <f>IF(COUNTBLANK(RawData[[#This Row],[Retention rate (Part-time), public 2-yrs (3 yr rolling avg)]])=0,_xlfn.RANK.AVG(RawData[[#This Row],[Retention rate (Part-time), public 2-yrs (3 yr rolling avg)]],RawData[Retention rate (Part-time), public 2-yrs (3 yr rolling avg)],1),"")</f>
        <v>14</v>
      </c>
      <c r="I5" s="31"/>
      <c r="J5">
        <f t="shared" si="2"/>
        <v>29</v>
      </c>
      <c r="K5">
        <f t="shared" si="3"/>
        <v>27.333333333333332</v>
      </c>
      <c r="L5" s="31"/>
      <c r="M5">
        <f t="shared" si="4"/>
        <v>28.166666666666664</v>
      </c>
      <c r="N5">
        <f t="shared" si="5"/>
        <v>19</v>
      </c>
      <c r="O5" s="31"/>
      <c r="P5">
        <f>IF(A5='State Detail'!BM$7,1,0)</f>
        <v>0</v>
      </c>
      <c r="Q5" s="24" t="e">
        <f t="shared" si="0"/>
        <v>#N/A</v>
      </c>
      <c r="R5" s="24" t="e">
        <f t="shared" si="1"/>
        <v>#N/A</v>
      </c>
      <c r="S5" s="31"/>
      <c r="T5">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16</v>
      </c>
      <c r="U5">
        <f>IF(COUNTBLANK(RawData[[#This Row],[3 Year Average Grad Rate, 150% of normal time, 4 year publics]])=0,_xlfn.RANK.AVG(RawData[[#This Row],[3 Year Average Grad Rate, 150% of normal time, 4 year publics]],RawData[3 Year Average Grad Rate, 150% of normal time, 4 year publics],1),"")</f>
        <v>10</v>
      </c>
      <c r="V5">
        <f>IF(COUNTBLANK(RawData[[#This Row],[3 Year Average full-time retention rate, 4 year publics]])=0,_xlfn.RANK.AVG(RawData[[#This Row],[3 Year Average full-time retention rate, 4 year publics]],RawData[3 Year Average full-time retention rate, 4 year publics],1),"")</f>
        <v>10</v>
      </c>
      <c r="W5">
        <f>IF(COUNTBLANK(RawData[[#This Row],[3 Year Average part-time retention rate, 4 year publics]])=0,_xlfn.RANK.AVG(RawData[[#This Row],[3 Year Average part-time retention rate, 4 year publics]],RawData[3 Year Average part-time retention rate, 4 year publics],1),"")</f>
        <v>5</v>
      </c>
    </row>
    <row r="6" spans="1:23" x14ac:dyDescent="0.35">
      <c r="A6" s="29" t="s">
        <v>2</v>
      </c>
      <c r="B6" s="30" t="s">
        <v>63</v>
      </c>
      <c r="C6" s="30">
        <f>IF(COUNTBLANK(RawData[[#This Row],[FTE undergrad enrollment at public 2-yrs, 2019]])=0,_xlfn.RANK.AVG(RawData[[#This Row],[FTE undergrad enrollment at public 2-yrs, 2019]],RawData[FTE undergrad enrollment at public 2-yrs, 2019],0),"")</f>
        <v>1</v>
      </c>
      <c r="D6" s="30">
        <f>IF(COUNTBLANK(RawData[[#This Row],[FTE undergrad enrollment at public 2-yrs, 2023]])=0,_xlfn.RANK.AVG(RawData[[#This Row],[FTE undergrad enrollment at public 2-yrs, 2023]],RawData[FTE undergrad enrollment at public 2-yrs, 2023],0),"")</f>
        <v>1</v>
      </c>
      <c r="E6">
        <f>IF(COUNTBLANK(RawData[[#This Row],[FTE undergrad enrollment change at public 2-yrs (%), 2019 to 2023]])=0,_xlfn.RANK.AVG(RawData[[#This Row],[FTE undergrad enrollment change at public 2-yrs (%), 2019 to 2023]],RawData[FTE undergrad enrollment change at public 2-yrs (%), 2019 to 2023],1),"")</f>
        <v>14</v>
      </c>
      <c r="F6">
        <f>IF(COUNTBLANK(RawData[[#This Row],[3-year Graduation rate, public 2-yrs (3 yr rolling avg)]])=0,_xlfn.RANK.AVG(RawData[[#This Row],[3-year Graduation rate, public 2-yrs (3 yr rolling avg)]],RawData[3-year Graduation rate, public 2-yrs (3 yr rolling avg)],1),"")</f>
        <v>38</v>
      </c>
      <c r="G6">
        <f>IF(COUNTBLANK(RawData[[#This Row],[Retention rate (Full-time), public 2-yrs (3 yr rolling avg)]])=0,_xlfn.RANK.AVG(RawData[[#This Row],[Retention rate (Full-time), public 2-yrs (3 yr rolling avg)]],RawData[Retention rate (Full-time), public 2-yrs (3 yr rolling avg)],1),"")</f>
        <v>47</v>
      </c>
      <c r="H6">
        <f>IF(COUNTBLANK(RawData[[#This Row],[Retention rate (Part-time), public 2-yrs (3 yr rolling avg)]])=0,_xlfn.RANK.AVG(RawData[[#This Row],[Retention rate (Part-time), public 2-yrs (3 yr rolling avg)]],RawData[Retention rate (Part-time), public 2-yrs (3 yr rolling avg)],1),"")</f>
        <v>11</v>
      </c>
      <c r="I6" s="31"/>
      <c r="J6">
        <f t="shared" si="2"/>
        <v>36</v>
      </c>
      <c r="K6">
        <f t="shared" si="3"/>
        <v>18</v>
      </c>
      <c r="L6" s="31"/>
      <c r="M6">
        <f t="shared" si="4"/>
        <v>27</v>
      </c>
      <c r="N6">
        <f t="shared" si="5"/>
        <v>20</v>
      </c>
      <c r="O6" s="31"/>
      <c r="P6">
        <f>IF(A6='State Detail'!BM$7,1,0)</f>
        <v>0</v>
      </c>
      <c r="Q6" s="24" t="e">
        <f t="shared" si="0"/>
        <v>#N/A</v>
      </c>
      <c r="R6" s="24" t="e">
        <f t="shared" si="1"/>
        <v>#N/A</v>
      </c>
      <c r="S6" s="31"/>
      <c r="T6">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35</v>
      </c>
      <c r="U6">
        <f>IF(COUNTBLANK(RawData[[#This Row],[3 Year Average Grad Rate, 150% of normal time, 4 year publics]])=0,_xlfn.RANK.AVG(RawData[[#This Row],[3 Year Average Grad Rate, 150% of normal time, 4 year publics]],RawData[3 Year Average Grad Rate, 150% of normal time, 4 year publics],1),"")</f>
        <v>46</v>
      </c>
      <c r="V6">
        <f>IF(COUNTBLANK(RawData[[#This Row],[3 Year Average full-time retention rate, 4 year publics]])=0,_xlfn.RANK.AVG(RawData[[#This Row],[3 Year Average full-time retention rate, 4 year publics]],RawData[3 Year Average full-time retention rate, 4 year publics],1),"")</f>
        <v>48</v>
      </c>
      <c r="W6">
        <f>IF(COUNTBLANK(RawData[[#This Row],[3 Year Average part-time retention rate, 4 year publics]])=0,_xlfn.RANK.AVG(RawData[[#This Row],[3 Year Average part-time retention rate, 4 year publics]],RawData[3 Year Average part-time retention rate, 4 year publics],1),"")</f>
        <v>37</v>
      </c>
    </row>
    <row r="7" spans="1:23" x14ac:dyDescent="0.35">
      <c r="A7" s="29" t="s">
        <v>67</v>
      </c>
      <c r="B7" s="30" t="s">
        <v>68</v>
      </c>
      <c r="C7" s="30">
        <f>IF(COUNTBLANK(RawData[[#This Row],[FTE undergrad enrollment at public 2-yrs, 2019]])=0,_xlfn.RANK.AVG(RawData[[#This Row],[FTE undergrad enrollment at public 2-yrs, 2019]],RawData[FTE undergrad enrollment at public 2-yrs, 2019],0),"")</f>
        <v>22</v>
      </c>
      <c r="D7" s="30">
        <f>IF(COUNTBLANK(RawData[[#This Row],[FTE undergrad enrollment at public 2-yrs, 2023]])=0,_xlfn.RANK.AVG(RawData[[#This Row],[FTE undergrad enrollment at public 2-yrs, 2023]],RawData[FTE undergrad enrollment at public 2-yrs, 2023],0),"")</f>
        <v>21</v>
      </c>
      <c r="E7">
        <f>IF(COUNTBLANK(RawData[[#This Row],[FTE undergrad enrollment change at public 2-yrs (%), 2019 to 2023]])=0,_xlfn.RANK.AVG(RawData[[#This Row],[FTE undergrad enrollment change at public 2-yrs (%), 2019 to 2023]],RawData[FTE undergrad enrollment change at public 2-yrs (%), 2019 to 2023],1),"")</f>
        <v>34</v>
      </c>
      <c r="F7">
        <f>IF(COUNTBLANK(RawData[[#This Row],[3-year Graduation rate, public 2-yrs (3 yr rolling avg)]])=0,_xlfn.RANK.AVG(RawData[[#This Row],[3-year Graduation rate, public 2-yrs (3 yr rolling avg)]],RawData[3-year Graduation rate, public 2-yrs (3 yr rolling avg)],1),"")</f>
        <v>24</v>
      </c>
      <c r="G7">
        <f>IF(COUNTBLANK(RawData[[#This Row],[Retention rate (Full-time), public 2-yrs (3 yr rolling avg)]])=0,_xlfn.RANK.AVG(RawData[[#This Row],[Retention rate (Full-time), public 2-yrs (3 yr rolling avg)]],RawData[Retention rate (Full-time), public 2-yrs (3 yr rolling avg)],1),"")</f>
        <v>15</v>
      </c>
      <c r="H7">
        <f>IF(COUNTBLANK(RawData[[#This Row],[Retention rate (Part-time), public 2-yrs (3 yr rolling avg)]])=0,_xlfn.RANK.AVG(RawData[[#This Row],[Retention rate (Part-time), public 2-yrs (3 yr rolling avg)]],RawData[Retention rate (Part-time), public 2-yrs (3 yr rolling avg)],1),"")</f>
        <v>18</v>
      </c>
      <c r="I7" s="31"/>
      <c r="J7">
        <f t="shared" si="2"/>
        <v>16</v>
      </c>
      <c r="K7">
        <f t="shared" si="3"/>
        <v>31</v>
      </c>
      <c r="L7" s="31"/>
      <c r="M7">
        <f t="shared" si="4"/>
        <v>23.5</v>
      </c>
      <c r="N7">
        <f t="shared" si="5"/>
        <v>27</v>
      </c>
      <c r="O7" s="31"/>
      <c r="P7">
        <f>IF(A7='State Detail'!BM$7,1,0)</f>
        <v>0</v>
      </c>
      <c r="Q7" s="24" t="e">
        <f t="shared" si="0"/>
        <v>#N/A</v>
      </c>
      <c r="R7" s="24" t="e">
        <f t="shared" si="1"/>
        <v>#N/A</v>
      </c>
      <c r="S7" s="31"/>
      <c r="T7">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24</v>
      </c>
      <c r="U7">
        <f>IF(COUNTBLANK(RawData[[#This Row],[3 Year Average Grad Rate, 150% of normal time, 4 year publics]])=0,_xlfn.RANK.AVG(RawData[[#This Row],[3 Year Average Grad Rate, 150% of normal time, 4 year publics]],RawData[3 Year Average Grad Rate, 150% of normal time, 4 year publics],1),"")</f>
        <v>21</v>
      </c>
      <c r="V7">
        <f>IF(COUNTBLANK(RawData[[#This Row],[3 Year Average full-time retention rate, 4 year publics]])=0,_xlfn.RANK.AVG(RawData[[#This Row],[3 Year Average full-time retention rate, 4 year publics]],RawData[3 Year Average full-time retention rate, 4 year publics],1),"")</f>
        <v>21</v>
      </c>
      <c r="W7">
        <f>IF(COUNTBLANK(RawData[[#This Row],[3 Year Average part-time retention rate, 4 year publics]])=0,_xlfn.RANK.AVG(RawData[[#This Row],[3 Year Average part-time retention rate, 4 year publics]],RawData[3 Year Average part-time retention rate, 4 year publics],1),"")</f>
        <v>29</v>
      </c>
    </row>
    <row r="8" spans="1:23" x14ac:dyDescent="0.35">
      <c r="A8" s="29" t="s">
        <v>71</v>
      </c>
      <c r="B8" s="30" t="s">
        <v>72</v>
      </c>
      <c r="C8" s="30">
        <f>IF(COUNTBLANK(RawData[[#This Row],[FTE undergrad enrollment at public 2-yrs, 2019]])=0,_xlfn.RANK.AVG(RawData[[#This Row],[FTE undergrad enrollment at public 2-yrs, 2019]],RawData[FTE undergrad enrollment at public 2-yrs, 2019],0),"")</f>
        <v>35</v>
      </c>
      <c r="D8" s="30">
        <f>IF(COUNTBLANK(RawData[[#This Row],[FTE undergrad enrollment at public 2-yrs, 2023]])=0,_xlfn.RANK.AVG(RawData[[#This Row],[FTE undergrad enrollment at public 2-yrs, 2023]],RawData[FTE undergrad enrollment at public 2-yrs, 2023],0),"")</f>
        <v>36</v>
      </c>
      <c r="E8">
        <f>IF(COUNTBLANK(RawData[[#This Row],[FTE undergrad enrollment change at public 2-yrs (%), 2019 to 2023]])=0,_xlfn.RANK.AVG(RawData[[#This Row],[FTE undergrad enrollment change at public 2-yrs (%), 2019 to 2023]],RawData[FTE undergrad enrollment change at public 2-yrs (%), 2019 to 2023],1),"")</f>
        <v>6</v>
      </c>
      <c r="F8">
        <f>IF(COUNTBLANK(RawData[[#This Row],[3-year Graduation rate, public 2-yrs (3 yr rolling avg)]])=0,_xlfn.RANK.AVG(RawData[[#This Row],[3-year Graduation rate, public 2-yrs (3 yr rolling avg)]],RawData[3-year Graduation rate, public 2-yrs (3 yr rolling avg)],1),"")</f>
        <v>1</v>
      </c>
      <c r="G8">
        <f>IF(COUNTBLANK(RawData[[#This Row],[Retention rate (Full-time), public 2-yrs (3 yr rolling avg)]])=0,_xlfn.RANK.AVG(RawData[[#This Row],[Retention rate (Full-time), public 2-yrs (3 yr rolling avg)]],RawData[Retention rate (Full-time), public 2-yrs (3 yr rolling avg)],1),"")</f>
        <v>13</v>
      </c>
      <c r="H8">
        <f>IF(COUNTBLANK(RawData[[#This Row],[Retention rate (Part-time), public 2-yrs (3 yr rolling avg)]])=0,_xlfn.RANK.AVG(RawData[[#This Row],[Retention rate (Part-time), public 2-yrs (3 yr rolling avg)]],RawData[Retention rate (Part-time), public 2-yrs (3 yr rolling avg)],1),"")</f>
        <v>16</v>
      </c>
      <c r="I8" s="31"/>
      <c r="J8">
        <f t="shared" si="2"/>
        <v>44</v>
      </c>
      <c r="K8">
        <f t="shared" si="3"/>
        <v>40</v>
      </c>
      <c r="L8" s="31"/>
      <c r="M8">
        <f>AVERAGE(J8:K8)</f>
        <v>42</v>
      </c>
      <c r="N8">
        <f t="shared" si="5"/>
        <v>3</v>
      </c>
      <c r="O8" s="31"/>
      <c r="P8">
        <f>IF(A8='State Detail'!BM$7,1,0)</f>
        <v>0</v>
      </c>
      <c r="Q8" s="24" t="e">
        <f t="shared" si="0"/>
        <v>#N/A</v>
      </c>
      <c r="R8" s="24" t="e">
        <f t="shared" si="1"/>
        <v>#N/A</v>
      </c>
      <c r="S8" s="31"/>
      <c r="T8">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17</v>
      </c>
      <c r="U8">
        <f>IF(COUNTBLANK(RawData[[#This Row],[3 Year Average Grad Rate, 150% of normal time, 4 year publics]])=0,_xlfn.RANK.AVG(RawData[[#This Row],[3 Year Average Grad Rate, 150% of normal time, 4 year publics]],RawData[3 Year Average Grad Rate, 150% of normal time, 4 year publics],1),"")</f>
        <v>38</v>
      </c>
      <c r="V8">
        <f>IF(COUNTBLANK(RawData[[#This Row],[3 Year Average full-time retention rate, 4 year publics]])=0,_xlfn.RANK.AVG(RawData[[#This Row],[3 Year Average full-time retention rate, 4 year publics]],RawData[3 Year Average full-time retention rate, 4 year publics],1),"")</f>
        <v>37.5</v>
      </c>
      <c r="W8">
        <f>IF(COUNTBLANK(RawData[[#This Row],[3 Year Average part-time retention rate, 4 year publics]])=0,_xlfn.RANK.AVG(RawData[[#This Row],[3 Year Average part-time retention rate, 4 year publics]],RawData[3 Year Average part-time retention rate, 4 year publics],1),"")</f>
        <v>20</v>
      </c>
    </row>
    <row r="9" spans="1:23" x14ac:dyDescent="0.35">
      <c r="A9" s="29" t="s">
        <v>73</v>
      </c>
      <c r="B9" s="30" t="s">
        <v>74</v>
      </c>
      <c r="C9" s="30">
        <f>IF(COUNTBLANK(RawData[[#This Row],[FTE undergrad enrollment at public 2-yrs, 2019]])=0,_xlfn.RANK.AVG(RawData[[#This Row],[FTE undergrad enrollment at public 2-yrs, 2019]],RawData[FTE undergrad enrollment at public 2-yrs, 2019],0),"")</f>
        <v>45</v>
      </c>
      <c r="D9" s="30">
        <f>IF(COUNTBLANK(RawData[[#This Row],[FTE undergrad enrollment at public 2-yrs, 2023]])=0,_xlfn.RANK.AVG(RawData[[#This Row],[FTE undergrad enrollment at public 2-yrs, 2023]],RawData[FTE undergrad enrollment at public 2-yrs, 2023],0),"")</f>
        <v>44</v>
      </c>
      <c r="E9">
        <f>IF(COUNTBLANK(RawData[[#This Row],[FTE undergrad enrollment change at public 2-yrs (%), 2019 to 2023]])=0,_xlfn.RANK.AVG(RawData[[#This Row],[FTE undergrad enrollment change at public 2-yrs (%), 2019 to 2023]],RawData[FTE undergrad enrollment change at public 2-yrs (%), 2019 to 2023],1),"")</f>
        <v>10</v>
      </c>
      <c r="F9">
        <f>IF(COUNTBLANK(RawData[[#This Row],[3-year Graduation rate, public 2-yrs (3 yr rolling avg)]])=0,_xlfn.RANK.AVG(RawData[[#This Row],[3-year Graduation rate, public 2-yrs (3 yr rolling avg)]],RawData[3-year Graduation rate, public 2-yrs (3 yr rolling avg)],1),"")</f>
        <v>3</v>
      </c>
      <c r="G9" t="str">
        <f>IF(COUNTBLANK(RawData[[#This Row],[Retention rate (Full-time), public 2-yrs (3 yr rolling avg)]])=0,_xlfn.RANK.AVG(RawData[[#This Row],[Retention rate (Full-time), public 2-yrs (3 yr rolling avg)]],RawData[Retention rate (Full-time), public 2-yrs (3 yr rolling avg)],1),"")</f>
        <v/>
      </c>
      <c r="H9" t="str">
        <f>IF(COUNTBLANK(RawData[[#This Row],[Retention rate (Part-time), public 2-yrs (3 yr rolling avg)]])=0,_xlfn.RANK.AVG(RawData[[#This Row],[Retention rate (Part-time), public 2-yrs (3 yr rolling avg)]],RawData[Retention rate (Part-time), public 2-yrs (3 yr rolling avg)],1),"")</f>
        <v/>
      </c>
      <c r="I9" s="31"/>
      <c r="J9">
        <f t="shared" si="2"/>
        <v>40</v>
      </c>
      <c r="K9">
        <f t="shared" si="3"/>
        <v>47</v>
      </c>
      <c r="L9" s="31"/>
      <c r="M9">
        <f t="shared" si="4"/>
        <v>43.5</v>
      </c>
      <c r="N9">
        <f t="shared" si="5"/>
        <v>2</v>
      </c>
      <c r="O9" s="31"/>
      <c r="P9">
        <f>IF(A9='State Detail'!BM$7,1,0)</f>
        <v>0</v>
      </c>
      <c r="Q9" s="24" t="e">
        <f t="shared" si="0"/>
        <v>#N/A</v>
      </c>
      <c r="R9" s="24" t="e">
        <f t="shared" si="1"/>
        <v>#N/A</v>
      </c>
      <c r="S9" s="31"/>
      <c r="T9">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47</v>
      </c>
      <c r="U9">
        <f>IF(COUNTBLANK(RawData[[#This Row],[3 Year Average Grad Rate, 150% of normal time, 4 year publics]])=0,_xlfn.RANK.AVG(RawData[[#This Row],[3 Year Average Grad Rate, 150% of normal time, 4 year publics]],RawData[3 Year Average Grad Rate, 150% of normal time, 4 year publics],1),"")</f>
        <v>50</v>
      </c>
      <c r="V9">
        <f>IF(COUNTBLANK(RawData[[#This Row],[3 Year Average full-time retention rate, 4 year publics]])=0,_xlfn.RANK.AVG(RawData[[#This Row],[3 Year Average full-time retention rate, 4 year publics]],RawData[3 Year Average full-time retention rate, 4 year publics],1),"")</f>
        <v>49</v>
      </c>
      <c r="W9">
        <f>IF(COUNTBLANK(RawData[[#This Row],[3 Year Average part-time retention rate, 4 year publics]])=0,_xlfn.RANK.AVG(RawData[[#This Row],[3 Year Average part-time retention rate, 4 year publics]],RawData[3 Year Average part-time retention rate, 4 year publics],1),"")</f>
        <v>1</v>
      </c>
    </row>
    <row r="10" spans="1:23" x14ac:dyDescent="0.35">
      <c r="A10" s="29" t="s">
        <v>75</v>
      </c>
      <c r="B10" s="30" t="s">
        <v>76</v>
      </c>
      <c r="C10" s="30">
        <f>IF(COUNTBLANK(RawData[[#This Row],[FTE undergrad enrollment at public 2-yrs, 2019]])=0,_xlfn.RANK.AVG(RawData[[#This Row],[FTE undergrad enrollment at public 2-yrs, 2019]],RawData[FTE undergrad enrollment at public 2-yrs, 2019],0),"")</f>
        <v>3</v>
      </c>
      <c r="D10" s="30">
        <f>IF(COUNTBLANK(RawData[[#This Row],[FTE undergrad enrollment at public 2-yrs, 2023]])=0,_xlfn.RANK.AVG(RawData[[#This Row],[FTE undergrad enrollment at public 2-yrs, 2023]],RawData[FTE undergrad enrollment at public 2-yrs, 2023],0),"")</f>
        <v>3</v>
      </c>
      <c r="E10">
        <f>IF(COUNTBLANK(RawData[[#This Row],[FTE undergrad enrollment change at public 2-yrs (%), 2019 to 2023]])=0,_xlfn.RANK.AVG(RawData[[#This Row],[FTE undergrad enrollment change at public 2-yrs (%), 2019 to 2023]],RawData[FTE undergrad enrollment change at public 2-yrs (%), 2019 to 2023],1),"")</f>
        <v>20</v>
      </c>
      <c r="F10">
        <f>IF(COUNTBLANK(RawData[[#This Row],[3-year Graduation rate, public 2-yrs (3 yr rolling avg)]])=0,_xlfn.RANK.AVG(RawData[[#This Row],[3-year Graduation rate, public 2-yrs (3 yr rolling avg)]],RawData[3-year Graduation rate, public 2-yrs (3 yr rolling avg)],1),"")</f>
        <v>46</v>
      </c>
      <c r="G10">
        <f>IF(COUNTBLANK(RawData[[#This Row],[Retention rate (Full-time), public 2-yrs (3 yr rolling avg)]])=0,_xlfn.RANK.AVG(RawData[[#This Row],[Retention rate (Full-time), public 2-yrs (3 yr rolling avg)]],RawData[Retention rate (Full-time), public 2-yrs (3 yr rolling avg)],1),"")</f>
        <v>29</v>
      </c>
      <c r="H10">
        <f>IF(COUNTBLANK(RawData[[#This Row],[Retention rate (Part-time), public 2-yrs (3 yr rolling avg)]])=0,_xlfn.RANK.AVG(RawData[[#This Row],[Retention rate (Part-time), public 2-yrs (3 yr rolling avg)]],RawData[Retention rate (Part-time), public 2-yrs (3 yr rolling avg)],1),"")</f>
        <v>46</v>
      </c>
      <c r="I10" s="31"/>
      <c r="J10">
        <f t="shared" si="2"/>
        <v>30</v>
      </c>
      <c r="K10">
        <f t="shared" si="3"/>
        <v>9.6666666666666643</v>
      </c>
      <c r="L10" s="31"/>
      <c r="M10">
        <f t="shared" si="4"/>
        <v>19.833333333333332</v>
      </c>
      <c r="N10">
        <f t="shared" si="5"/>
        <v>35</v>
      </c>
      <c r="O10" s="31"/>
      <c r="P10">
        <f>IF(A10='State Detail'!BM$7,1,0)</f>
        <v>0</v>
      </c>
      <c r="Q10" s="24" t="e">
        <f t="shared" si="0"/>
        <v>#N/A</v>
      </c>
      <c r="R10" s="24" t="e">
        <f t="shared" si="1"/>
        <v>#N/A</v>
      </c>
      <c r="S10" s="31"/>
      <c r="T10">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46</v>
      </c>
      <c r="U10">
        <f>IF(COUNTBLANK(RawData[[#This Row],[3 Year Average Grad Rate, 150% of normal time, 4 year publics]])=0,_xlfn.RANK.AVG(RawData[[#This Row],[3 Year Average Grad Rate, 150% of normal time, 4 year publics]],RawData[3 Year Average Grad Rate, 150% of normal time, 4 year publics],1),"")</f>
        <v>49</v>
      </c>
      <c r="V10">
        <f>IF(COUNTBLANK(RawData[[#This Row],[3 Year Average full-time retention rate, 4 year publics]])=0,_xlfn.RANK.AVG(RawData[[#This Row],[3 Year Average full-time retention rate, 4 year publics]],RawData[3 Year Average full-time retention rate, 4 year publics],1),"")</f>
        <v>50</v>
      </c>
      <c r="W10">
        <f>IF(COUNTBLANK(RawData[[#This Row],[3 Year Average part-time retention rate, 4 year publics]])=0,_xlfn.RANK.AVG(RawData[[#This Row],[3 Year Average part-time retention rate, 4 year publics]],RawData[3 Year Average part-time retention rate, 4 year publics],1),"")</f>
        <v>50</v>
      </c>
    </row>
    <row r="11" spans="1:23" x14ac:dyDescent="0.35">
      <c r="A11" s="29" t="s">
        <v>77</v>
      </c>
      <c r="B11" s="30" t="s">
        <v>78</v>
      </c>
      <c r="C11" s="30">
        <f>IF(COUNTBLANK(RawData[[#This Row],[FTE undergrad enrollment at public 2-yrs, 2019]])=0,_xlfn.RANK.AVG(RawData[[#This Row],[FTE undergrad enrollment at public 2-yrs, 2019]],RawData[FTE undergrad enrollment at public 2-yrs, 2019],0),"")</f>
        <v>11</v>
      </c>
      <c r="D11" s="30">
        <f>IF(COUNTBLANK(RawData[[#This Row],[FTE undergrad enrollment at public 2-yrs, 2023]])=0,_xlfn.RANK.AVG(RawData[[#This Row],[FTE undergrad enrollment at public 2-yrs, 2023]],RawData[FTE undergrad enrollment at public 2-yrs, 2023],0),"")</f>
        <v>11</v>
      </c>
      <c r="E11">
        <f>IF(COUNTBLANK(RawData[[#This Row],[FTE undergrad enrollment change at public 2-yrs (%), 2019 to 2023]])=0,_xlfn.RANK.AVG(RawData[[#This Row],[FTE undergrad enrollment change at public 2-yrs (%), 2019 to 2023]],RawData[FTE undergrad enrollment change at public 2-yrs (%), 2019 to 2023],1),"")</f>
        <v>18</v>
      </c>
      <c r="F11">
        <f>IF(COUNTBLANK(RawData[[#This Row],[3-year Graduation rate, public 2-yrs (3 yr rolling avg)]])=0,_xlfn.RANK.AVG(RawData[[#This Row],[3-year Graduation rate, public 2-yrs (3 yr rolling avg)]],RawData[3-year Graduation rate, public 2-yrs (3 yr rolling avg)],1),"")</f>
        <v>29</v>
      </c>
      <c r="G11">
        <f>IF(COUNTBLANK(RawData[[#This Row],[Retention rate (Full-time), public 2-yrs (3 yr rolling avg)]])=0,_xlfn.RANK.AVG(RawData[[#This Row],[Retention rate (Full-time), public 2-yrs (3 yr rolling avg)]],RawData[Retention rate (Full-time), public 2-yrs (3 yr rolling avg)],1),"")</f>
        <v>27</v>
      </c>
      <c r="H11">
        <f>IF(COUNTBLANK(RawData[[#This Row],[Retention rate (Part-time), public 2-yrs (3 yr rolling avg)]])=0,_xlfn.RANK.AVG(RawData[[#This Row],[Retention rate (Part-time), public 2-yrs (3 yr rolling avg)]],RawData[Retention rate (Part-time), public 2-yrs (3 yr rolling avg)],1),"")</f>
        <v>38</v>
      </c>
      <c r="I11" s="31"/>
      <c r="J11">
        <f t="shared" si="2"/>
        <v>32</v>
      </c>
      <c r="K11">
        <f t="shared" si="3"/>
        <v>18.666666666666668</v>
      </c>
      <c r="L11" s="31"/>
      <c r="M11">
        <f t="shared" si="4"/>
        <v>25.333333333333336</v>
      </c>
      <c r="N11">
        <f t="shared" si="5"/>
        <v>22</v>
      </c>
      <c r="O11" s="31"/>
      <c r="P11">
        <f>IF(A11='State Detail'!BM$7,1,0)</f>
        <v>0</v>
      </c>
      <c r="Q11" s="24" t="e">
        <f t="shared" si="0"/>
        <v>#N/A</v>
      </c>
      <c r="R11" s="24" t="e">
        <f t="shared" si="1"/>
        <v>#N/A</v>
      </c>
      <c r="S11" s="31"/>
      <c r="T11">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38</v>
      </c>
      <c r="U11">
        <f>IF(COUNTBLANK(RawData[[#This Row],[3 Year Average Grad Rate, 150% of normal time, 4 year publics]])=0,_xlfn.RANK.AVG(RawData[[#This Row],[3 Year Average Grad Rate, 150% of normal time, 4 year publics]],RawData[3 Year Average Grad Rate, 150% of normal time, 4 year publics],1),"")</f>
        <v>12</v>
      </c>
      <c r="V11">
        <f>IF(COUNTBLANK(RawData[[#This Row],[3 Year Average full-time retention rate, 4 year publics]])=0,_xlfn.RANK.AVG(RawData[[#This Row],[3 Year Average full-time retention rate, 4 year publics]],RawData[3 Year Average full-time retention rate, 4 year publics],1),"")</f>
        <v>13.5</v>
      </c>
      <c r="W11">
        <f>IF(COUNTBLANK(RawData[[#This Row],[3 Year Average part-time retention rate, 4 year publics]])=0,_xlfn.RANK.AVG(RawData[[#This Row],[3 Year Average part-time retention rate, 4 year publics]],RawData[3 Year Average part-time retention rate, 4 year publics],1),"")</f>
        <v>32</v>
      </c>
    </row>
    <row r="12" spans="1:23" x14ac:dyDescent="0.35">
      <c r="A12" s="29" t="s">
        <v>81</v>
      </c>
      <c r="B12" s="30" t="s">
        <v>82</v>
      </c>
      <c r="C12" s="30">
        <f>IF(COUNTBLANK(RawData[[#This Row],[FTE undergrad enrollment at public 2-yrs, 2019]])=0,_xlfn.RANK.AVG(RawData[[#This Row],[FTE undergrad enrollment at public 2-yrs, 2019]],RawData[FTE undergrad enrollment at public 2-yrs, 2019],0),"")</f>
        <v>39</v>
      </c>
      <c r="D12" s="30">
        <f>IF(COUNTBLANK(RawData[[#This Row],[FTE undergrad enrollment at public 2-yrs, 2023]])=0,_xlfn.RANK.AVG(RawData[[#This Row],[FTE undergrad enrollment at public 2-yrs, 2023]],RawData[FTE undergrad enrollment at public 2-yrs, 2023],0),"")</f>
        <v>39</v>
      </c>
      <c r="E12">
        <f>IF(COUNTBLANK(RawData[[#This Row],[FTE undergrad enrollment change at public 2-yrs (%), 2019 to 2023]])=0,_xlfn.RANK.AVG(RawData[[#This Row],[FTE undergrad enrollment change at public 2-yrs (%), 2019 to 2023]],RawData[FTE undergrad enrollment change at public 2-yrs (%), 2019 to 2023],1),"")</f>
        <v>7</v>
      </c>
      <c r="F12">
        <f>IF(COUNTBLANK(RawData[[#This Row],[3-year Graduation rate, public 2-yrs (3 yr rolling avg)]])=0,_xlfn.RANK.AVG(RawData[[#This Row],[3-year Graduation rate, public 2-yrs (3 yr rolling avg)]],RawData[3-year Graduation rate, public 2-yrs (3 yr rolling avg)],1),"")</f>
        <v>20</v>
      </c>
      <c r="G12">
        <f>IF(COUNTBLANK(RawData[[#This Row],[Retention rate (Full-time), public 2-yrs (3 yr rolling avg)]])=0,_xlfn.RANK.AVG(RawData[[#This Row],[Retention rate (Full-time), public 2-yrs (3 yr rolling avg)]],RawData[Retention rate (Full-time), public 2-yrs (3 yr rolling avg)],1),"")</f>
        <v>44</v>
      </c>
      <c r="H12">
        <f>IF(COUNTBLANK(RawData[[#This Row],[Retention rate (Part-time), public 2-yrs (3 yr rolling avg)]])=0,_xlfn.RANK.AVG(RawData[[#This Row],[Retention rate (Part-time), public 2-yrs (3 yr rolling avg)]],RawData[Retention rate (Part-time), public 2-yrs (3 yr rolling avg)],1),"")</f>
        <v>45</v>
      </c>
      <c r="I12" s="31"/>
      <c r="J12">
        <f t="shared" si="2"/>
        <v>43</v>
      </c>
      <c r="K12">
        <f t="shared" si="3"/>
        <v>13.666666666666664</v>
      </c>
      <c r="L12" s="31"/>
      <c r="M12">
        <f t="shared" si="4"/>
        <v>28.333333333333332</v>
      </c>
      <c r="N12">
        <f t="shared" si="5"/>
        <v>17</v>
      </c>
      <c r="O12" s="31"/>
      <c r="P12">
        <f>IF(A12='State Detail'!BM$7,1,0)</f>
        <v>0</v>
      </c>
      <c r="Q12" s="24" t="e">
        <f t="shared" si="0"/>
        <v>#N/A</v>
      </c>
      <c r="R12" s="24" t="e">
        <f t="shared" si="1"/>
        <v>#N/A</v>
      </c>
      <c r="S12" s="31"/>
      <c r="T12">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44</v>
      </c>
      <c r="U12">
        <f>IF(COUNTBLANK(RawData[[#This Row],[3 Year Average Grad Rate, 150% of normal time, 4 year publics]])=0,_xlfn.RANK.AVG(RawData[[#This Row],[3 Year Average Grad Rate, 150% of normal time, 4 year publics]],RawData[3 Year Average Grad Rate, 150% of normal time, 4 year publics],1),"")</f>
        <v>15</v>
      </c>
      <c r="V12">
        <f>IF(COUNTBLANK(RawData[[#This Row],[3 Year Average full-time retention rate, 4 year publics]])=0,_xlfn.RANK.AVG(RawData[[#This Row],[3 Year Average full-time retention rate, 4 year publics]],RawData[3 Year Average full-time retention rate, 4 year publics],1),"")</f>
        <v>15.5</v>
      </c>
      <c r="W12">
        <f>IF(COUNTBLANK(RawData[[#This Row],[3 Year Average part-time retention rate, 4 year publics]])=0,_xlfn.RANK.AVG(RawData[[#This Row],[3 Year Average part-time retention rate, 4 year publics]],RawData[3 Year Average part-time retention rate, 4 year publics],1),"")</f>
        <v>30</v>
      </c>
    </row>
    <row r="13" spans="1:23" x14ac:dyDescent="0.35">
      <c r="A13" s="29" t="s">
        <v>83</v>
      </c>
      <c r="B13" s="30" t="s">
        <v>84</v>
      </c>
      <c r="C13" s="30">
        <f>IF(COUNTBLANK(RawData[[#This Row],[FTE undergrad enrollment at public 2-yrs, 2019]])=0,_xlfn.RANK.AVG(RawData[[#This Row],[FTE undergrad enrollment at public 2-yrs, 2019]],RawData[FTE undergrad enrollment at public 2-yrs, 2019],0),"")</f>
        <v>38</v>
      </c>
      <c r="D13" s="30">
        <f>IF(COUNTBLANK(RawData[[#This Row],[FTE undergrad enrollment at public 2-yrs, 2023]])=0,_xlfn.RANK.AVG(RawData[[#This Row],[FTE undergrad enrollment at public 2-yrs, 2023]],RawData[FTE undergrad enrollment at public 2-yrs, 2023],0),"")</f>
        <v>38</v>
      </c>
      <c r="E13">
        <f>IF(COUNTBLANK(RawData[[#This Row],[FTE undergrad enrollment change at public 2-yrs (%), 2019 to 2023]])=0,_xlfn.RANK.AVG(RawData[[#This Row],[FTE undergrad enrollment change at public 2-yrs (%), 2019 to 2023]],RawData[FTE undergrad enrollment change at public 2-yrs (%), 2019 to 2023],1),"")</f>
        <v>46</v>
      </c>
      <c r="F13">
        <f>IF(COUNTBLANK(RawData[[#This Row],[3-year Graduation rate, public 2-yrs (3 yr rolling avg)]])=0,_xlfn.RANK.AVG(RawData[[#This Row],[3-year Graduation rate, public 2-yrs (3 yr rolling avg)]],RawData[3-year Graduation rate, public 2-yrs (3 yr rolling avg)],1),"")</f>
        <v>22</v>
      </c>
      <c r="G13">
        <f>IF(COUNTBLANK(RawData[[#This Row],[Retention rate (Full-time), public 2-yrs (3 yr rolling avg)]])=0,_xlfn.RANK.AVG(RawData[[#This Row],[Retention rate (Full-time), public 2-yrs (3 yr rolling avg)]],RawData[Retention rate (Full-time), public 2-yrs (3 yr rolling avg)],1),"")</f>
        <v>21</v>
      </c>
      <c r="H13">
        <f>IF(COUNTBLANK(RawData[[#This Row],[Retention rate (Part-time), public 2-yrs (3 yr rolling avg)]])=0,_xlfn.RANK.AVG(RawData[[#This Row],[Retention rate (Part-time), public 2-yrs (3 yr rolling avg)]],RawData[Retention rate (Part-time), public 2-yrs (3 yr rolling avg)],1),"")</f>
        <v>28</v>
      </c>
      <c r="I13" s="31"/>
      <c r="J13">
        <f t="shared" si="2"/>
        <v>4</v>
      </c>
      <c r="K13">
        <f t="shared" si="3"/>
        <v>26.333333333333332</v>
      </c>
      <c r="L13" s="31"/>
      <c r="M13">
        <f t="shared" si="4"/>
        <v>15.166666666666666</v>
      </c>
      <c r="N13">
        <f t="shared" si="5"/>
        <v>45</v>
      </c>
      <c r="O13" s="31"/>
      <c r="P13">
        <f>IF(A13='State Detail'!BM$7,1,0)</f>
        <v>0</v>
      </c>
      <c r="Q13" s="24" t="e">
        <f t="shared" si="0"/>
        <v>#N/A</v>
      </c>
      <c r="R13" s="24" t="e">
        <f t="shared" si="1"/>
        <v>#N/A</v>
      </c>
      <c r="S13" s="31"/>
      <c r="T13">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39.5</v>
      </c>
      <c r="U13">
        <f>IF(COUNTBLANK(RawData[[#This Row],[3 Year Average Grad Rate, 150% of normal time, 4 year publics]])=0,_xlfn.RANK.AVG(RawData[[#This Row],[3 Year Average Grad Rate, 150% of normal time, 4 year publics]],RawData[3 Year Average Grad Rate, 150% of normal time, 4 year publics],1),"")</f>
        <v>6</v>
      </c>
      <c r="V13">
        <f>IF(COUNTBLANK(RawData[[#This Row],[3 Year Average full-time retention rate, 4 year publics]])=0,_xlfn.RANK.AVG(RawData[[#This Row],[3 Year Average full-time retention rate, 4 year publics]],RawData[3 Year Average full-time retention rate, 4 year publics],1),"")</f>
        <v>4</v>
      </c>
      <c r="W13">
        <f>IF(COUNTBLANK(RawData[[#This Row],[3 Year Average part-time retention rate, 4 year publics]])=0,_xlfn.RANK.AVG(RawData[[#This Row],[3 Year Average part-time retention rate, 4 year publics]],RawData[3 Year Average part-time retention rate, 4 year publics],1),"")</f>
        <v>7</v>
      </c>
    </row>
    <row r="14" spans="1:23" x14ac:dyDescent="0.35">
      <c r="A14" s="29" t="s">
        <v>85</v>
      </c>
      <c r="B14" s="30" t="s">
        <v>86</v>
      </c>
      <c r="C14" s="30">
        <f>IF(COUNTBLANK(RawData[[#This Row],[FTE undergrad enrollment at public 2-yrs, 2019]])=0,_xlfn.RANK.AVG(RawData[[#This Row],[FTE undergrad enrollment at public 2-yrs, 2019]],RawData[FTE undergrad enrollment at public 2-yrs, 2019],0),"")</f>
        <v>5</v>
      </c>
      <c r="D14" s="30">
        <f>IF(COUNTBLANK(RawData[[#This Row],[FTE undergrad enrollment at public 2-yrs, 2023]])=0,_xlfn.RANK.AVG(RawData[[#This Row],[FTE undergrad enrollment at public 2-yrs, 2023]],RawData[FTE undergrad enrollment at public 2-yrs, 2023],0),"")</f>
        <v>4</v>
      </c>
      <c r="E14">
        <f>IF(COUNTBLANK(RawData[[#This Row],[FTE undergrad enrollment change at public 2-yrs (%), 2019 to 2023]])=0,_xlfn.RANK.AVG(RawData[[#This Row],[FTE undergrad enrollment change at public 2-yrs (%), 2019 to 2023]],RawData[FTE undergrad enrollment change at public 2-yrs (%), 2019 to 2023],1),"")</f>
        <v>12</v>
      </c>
      <c r="F14">
        <f>IF(COUNTBLANK(RawData[[#This Row],[3-year Graduation rate, public 2-yrs (3 yr rolling avg)]])=0,_xlfn.RANK.AVG(RawData[[#This Row],[3-year Graduation rate, public 2-yrs (3 yr rolling avg)]],RawData[3-year Graduation rate, public 2-yrs (3 yr rolling avg)],1),"")</f>
        <v>34</v>
      </c>
      <c r="G14">
        <f>IF(COUNTBLANK(RawData[[#This Row],[Retention rate (Full-time), public 2-yrs (3 yr rolling avg)]])=0,_xlfn.RANK.AVG(RawData[[#This Row],[Retention rate (Full-time), public 2-yrs (3 yr rolling avg)]],RawData[Retention rate (Full-time), public 2-yrs (3 yr rolling avg)],1),"")</f>
        <v>46</v>
      </c>
      <c r="H14">
        <f>IF(COUNTBLANK(RawData[[#This Row],[Retention rate (Part-time), public 2-yrs (3 yr rolling avg)]])=0,_xlfn.RANK.AVG(RawData[[#This Row],[Retention rate (Part-time), public 2-yrs (3 yr rolling avg)]],RawData[Retention rate (Part-time), public 2-yrs (3 yr rolling avg)],1),"")</f>
        <v>40</v>
      </c>
      <c r="I14" s="31"/>
      <c r="J14">
        <f t="shared" si="2"/>
        <v>38</v>
      </c>
      <c r="K14">
        <f t="shared" si="3"/>
        <v>10</v>
      </c>
      <c r="L14" s="31"/>
      <c r="M14">
        <f t="shared" si="4"/>
        <v>24</v>
      </c>
      <c r="N14">
        <f t="shared" si="5"/>
        <v>25</v>
      </c>
      <c r="O14" s="31"/>
      <c r="P14">
        <f>IF(A14='State Detail'!BM$7,1,0)</f>
        <v>0</v>
      </c>
      <c r="Q14" s="24" t="e">
        <f t="shared" si="0"/>
        <v>#N/A</v>
      </c>
      <c r="R14" s="24" t="e">
        <f t="shared" si="1"/>
        <v>#N/A</v>
      </c>
      <c r="S14" s="31"/>
      <c r="T14">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30.5</v>
      </c>
      <c r="U14">
        <f>IF(COUNTBLANK(RawData[[#This Row],[3 Year Average Grad Rate, 150% of normal time, 4 year publics]])=0,_xlfn.RANK.AVG(RawData[[#This Row],[3 Year Average Grad Rate, 150% of normal time, 4 year publics]],RawData[3 Year Average Grad Rate, 150% of normal time, 4 year publics],1),"")</f>
        <v>29</v>
      </c>
      <c r="V14">
        <f>IF(COUNTBLANK(RawData[[#This Row],[3 Year Average full-time retention rate, 4 year publics]])=0,_xlfn.RANK.AVG(RawData[[#This Row],[3 Year Average full-time retention rate, 4 year publics]],RawData[3 Year Average full-time retention rate, 4 year publics],1),"")</f>
        <v>35.5</v>
      </c>
      <c r="W14">
        <f>IF(COUNTBLANK(RawData[[#This Row],[3 Year Average part-time retention rate, 4 year publics]])=0,_xlfn.RANK.AVG(RawData[[#This Row],[3 Year Average part-time retention rate, 4 year publics]],RawData[3 Year Average part-time retention rate, 4 year publics],1),"")</f>
        <v>15</v>
      </c>
    </row>
    <row r="15" spans="1:23" x14ac:dyDescent="0.35">
      <c r="A15" s="29" t="s">
        <v>87</v>
      </c>
      <c r="B15" s="30" t="s">
        <v>88</v>
      </c>
      <c r="C15" s="30">
        <f>IF(COUNTBLANK(RawData[[#This Row],[FTE undergrad enrollment at public 2-yrs, 2019]])=0,_xlfn.RANK.AVG(RawData[[#This Row],[FTE undergrad enrollment at public 2-yrs, 2019]],RawData[FTE undergrad enrollment at public 2-yrs, 2019],0),"")</f>
        <v>17</v>
      </c>
      <c r="D15" s="30">
        <f>IF(COUNTBLANK(RawData[[#This Row],[FTE undergrad enrollment at public 2-yrs, 2023]])=0,_xlfn.RANK.AVG(RawData[[#This Row],[FTE undergrad enrollment at public 2-yrs, 2023]],RawData[FTE undergrad enrollment at public 2-yrs, 2023],0),"")</f>
        <v>16</v>
      </c>
      <c r="E15">
        <f>IF(COUNTBLANK(RawData[[#This Row],[FTE undergrad enrollment change at public 2-yrs (%), 2019 to 2023]])=0,_xlfn.RANK.AVG(RawData[[#This Row],[FTE undergrad enrollment change at public 2-yrs (%), 2019 to 2023]],RawData[FTE undergrad enrollment change at public 2-yrs (%), 2019 to 2023],1),"")</f>
        <v>44</v>
      </c>
      <c r="F15">
        <f>IF(COUNTBLANK(RawData[[#This Row],[3-year Graduation rate, public 2-yrs (3 yr rolling avg)]])=0,_xlfn.RANK.AVG(RawData[[#This Row],[3-year Graduation rate, public 2-yrs (3 yr rolling avg)]],RawData[3-year Graduation rate, public 2-yrs (3 yr rolling avg)],1),"")</f>
        <v>27</v>
      </c>
      <c r="G15">
        <f>IF(COUNTBLANK(RawData[[#This Row],[Retention rate (Full-time), public 2-yrs (3 yr rolling avg)]])=0,_xlfn.RANK.AVG(RawData[[#This Row],[Retention rate (Full-time), public 2-yrs (3 yr rolling avg)]],RawData[Retention rate (Full-time), public 2-yrs (3 yr rolling avg)],1),"")</f>
        <v>11</v>
      </c>
      <c r="H15">
        <f>IF(COUNTBLANK(RawData[[#This Row],[Retention rate (Part-time), public 2-yrs (3 yr rolling avg)]])=0,_xlfn.RANK.AVG(RawData[[#This Row],[Retention rate (Part-time), public 2-yrs (3 yr rolling avg)]],RawData[Retention rate (Part-time), public 2-yrs (3 yr rolling avg)],1),"")</f>
        <v>23</v>
      </c>
      <c r="I15" s="31"/>
      <c r="J15">
        <f t="shared" si="2"/>
        <v>6</v>
      </c>
      <c r="K15">
        <f t="shared" si="3"/>
        <v>29.666666666666668</v>
      </c>
      <c r="L15" s="31"/>
      <c r="M15">
        <f t="shared" si="4"/>
        <v>17.833333333333336</v>
      </c>
      <c r="N15">
        <f t="shared" si="5"/>
        <v>39</v>
      </c>
      <c r="O15" s="31"/>
      <c r="P15">
        <f>IF(A15='State Detail'!BM$7,1,0)</f>
        <v>0</v>
      </c>
      <c r="Q15" s="24" t="e">
        <f t="shared" si="0"/>
        <v>#N/A</v>
      </c>
      <c r="R15" s="24" t="e">
        <f t="shared" si="1"/>
        <v>#N/A</v>
      </c>
      <c r="S15" s="31"/>
      <c r="T15">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43</v>
      </c>
      <c r="U15">
        <f>IF(COUNTBLANK(RawData[[#This Row],[3 Year Average Grad Rate, 150% of normal time, 4 year publics]])=0,_xlfn.RANK.AVG(RawData[[#This Row],[3 Year Average Grad Rate, 150% of normal time, 4 year publics]],RawData[3 Year Average Grad Rate, 150% of normal time, 4 year publics],1),"")</f>
        <v>32</v>
      </c>
      <c r="V15">
        <f>IF(COUNTBLANK(RawData[[#This Row],[3 Year Average full-time retention rate, 4 year publics]])=0,_xlfn.RANK.AVG(RawData[[#This Row],[3 Year Average full-time retention rate, 4 year publics]],RawData[3 Year Average full-time retention rate, 4 year publics],1),"")</f>
        <v>27.5</v>
      </c>
      <c r="W15">
        <f>IF(COUNTBLANK(RawData[[#This Row],[3 Year Average part-time retention rate, 4 year publics]])=0,_xlfn.RANK.AVG(RawData[[#This Row],[3 Year Average part-time retention rate, 4 year publics]],RawData[3 Year Average part-time retention rate, 4 year publics],1),"")</f>
        <v>12</v>
      </c>
    </row>
    <row r="16" spans="1:23" x14ac:dyDescent="0.35">
      <c r="A16" s="29" t="s">
        <v>90</v>
      </c>
      <c r="B16" s="30" t="s">
        <v>91</v>
      </c>
      <c r="C16" s="30">
        <f>IF(COUNTBLANK(RawData[[#This Row],[FTE undergrad enrollment at public 2-yrs, 2019]])=0,_xlfn.RANK.AVG(RawData[[#This Row],[FTE undergrad enrollment at public 2-yrs, 2019]],RawData[FTE undergrad enrollment at public 2-yrs, 2019],0),"")</f>
        <v>23</v>
      </c>
      <c r="D16" s="30">
        <f>IF(COUNTBLANK(RawData[[#This Row],[FTE undergrad enrollment at public 2-yrs, 2023]])=0,_xlfn.RANK.AVG(RawData[[#This Row],[FTE undergrad enrollment at public 2-yrs, 2023]],RawData[FTE undergrad enrollment at public 2-yrs, 2023],0),"")</f>
        <v>23</v>
      </c>
      <c r="E16">
        <f>IF(COUNTBLANK(RawData[[#This Row],[FTE undergrad enrollment change at public 2-yrs (%), 2019 to 2023]])=0,_xlfn.RANK.AVG(RawData[[#This Row],[FTE undergrad enrollment change at public 2-yrs (%), 2019 to 2023]],RawData[FTE undergrad enrollment change at public 2-yrs (%), 2019 to 2023],1),"")</f>
        <v>31</v>
      </c>
      <c r="F16">
        <f>IF(COUNTBLANK(RawData[[#This Row],[3-year Graduation rate, public 2-yrs (3 yr rolling avg)]])=0,_xlfn.RANK.AVG(RawData[[#This Row],[3-year Graduation rate, public 2-yrs (3 yr rolling avg)]],RawData[3-year Graduation rate, public 2-yrs (3 yr rolling avg)],1),"")</f>
        <v>42</v>
      </c>
      <c r="G16">
        <f>IF(COUNTBLANK(RawData[[#This Row],[Retention rate (Full-time), public 2-yrs (3 yr rolling avg)]])=0,_xlfn.RANK.AVG(RawData[[#This Row],[Retention rate (Full-time), public 2-yrs (3 yr rolling avg)]],RawData[Retention rate (Full-time), public 2-yrs (3 yr rolling avg)],1),"")</f>
        <v>34</v>
      </c>
      <c r="H16">
        <f>IF(COUNTBLANK(RawData[[#This Row],[Retention rate (Part-time), public 2-yrs (3 yr rolling avg)]])=0,_xlfn.RANK.AVG(RawData[[#This Row],[Retention rate (Part-time), public 2-yrs (3 yr rolling avg)]],RawData[Retention rate (Part-time), public 2-yrs (3 yr rolling avg)],1),"")</f>
        <v>30</v>
      </c>
      <c r="I16" s="31"/>
      <c r="J16">
        <f t="shared" si="2"/>
        <v>19</v>
      </c>
      <c r="K16">
        <f t="shared" si="3"/>
        <v>14.666666666666664</v>
      </c>
      <c r="L16" s="31"/>
      <c r="M16">
        <f t="shared" si="4"/>
        <v>16.833333333333332</v>
      </c>
      <c r="N16">
        <f t="shared" si="5"/>
        <v>41</v>
      </c>
      <c r="O16" s="31"/>
      <c r="P16">
        <f>IF(A16='State Detail'!BM$7,1,0)</f>
        <v>0</v>
      </c>
      <c r="Q16" s="24" t="e">
        <f t="shared" si="0"/>
        <v>#N/A</v>
      </c>
      <c r="R16" s="24" t="e">
        <f t="shared" si="1"/>
        <v>#N/A</v>
      </c>
      <c r="S16" s="31"/>
      <c r="T16">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6</v>
      </c>
      <c r="U16">
        <f>IF(COUNTBLANK(RawData[[#This Row],[3 Year Average Grad Rate, 150% of normal time, 4 year publics]])=0,_xlfn.RANK.AVG(RawData[[#This Row],[3 Year Average Grad Rate, 150% of normal time, 4 year publics]],RawData[3 Year Average Grad Rate, 150% of normal time, 4 year publics],1),"")</f>
        <v>48</v>
      </c>
      <c r="V16">
        <f>IF(COUNTBLANK(RawData[[#This Row],[3 Year Average full-time retention rate, 4 year publics]])=0,_xlfn.RANK.AVG(RawData[[#This Row],[3 Year Average full-time retention rate, 4 year publics]],RawData[3 Year Average full-time retention rate, 4 year publics],1),"")</f>
        <v>47</v>
      </c>
      <c r="W16">
        <f>IF(COUNTBLANK(RawData[[#This Row],[3 Year Average part-time retention rate, 4 year publics]])=0,_xlfn.RANK.AVG(RawData[[#This Row],[3 Year Average part-time retention rate, 4 year publics]],RawData[3 Year Average part-time retention rate, 4 year publics],1),"")</f>
        <v>49</v>
      </c>
    </row>
    <row r="17" spans="1:23" x14ac:dyDescent="0.35">
      <c r="A17" s="29" t="s">
        <v>92</v>
      </c>
      <c r="B17" s="30" t="s">
        <v>93</v>
      </c>
      <c r="C17" s="30">
        <f>IF(COUNTBLANK(RawData[[#This Row],[FTE undergrad enrollment at public 2-yrs, 2019]])=0,_xlfn.RANK.AVG(RawData[[#This Row],[FTE undergrad enrollment at public 2-yrs, 2019]],RawData[FTE undergrad enrollment at public 2-yrs, 2019],0),"")</f>
        <v>28</v>
      </c>
      <c r="D17" s="30">
        <f>IF(COUNTBLANK(RawData[[#This Row],[FTE undergrad enrollment at public 2-yrs, 2023]])=0,_xlfn.RANK.AVG(RawData[[#This Row],[FTE undergrad enrollment at public 2-yrs, 2023]],RawData[FTE undergrad enrollment at public 2-yrs, 2023],0),"")</f>
        <v>26</v>
      </c>
      <c r="E17">
        <f>IF(COUNTBLANK(RawData[[#This Row],[FTE undergrad enrollment change at public 2-yrs (%), 2019 to 2023]])=0,_xlfn.RANK.AVG(RawData[[#This Row],[FTE undergrad enrollment change at public 2-yrs (%), 2019 to 2023]],RawData[FTE undergrad enrollment change at public 2-yrs (%), 2019 to 2023],1),"")</f>
        <v>23</v>
      </c>
      <c r="F17">
        <f>IF(COUNTBLANK(RawData[[#This Row],[3-year Graduation rate, public 2-yrs (3 yr rolling avg)]])=0,_xlfn.RANK.AVG(RawData[[#This Row],[3-year Graduation rate, public 2-yrs (3 yr rolling avg)]],RawData[3-year Graduation rate, public 2-yrs (3 yr rolling avg)],1),"")</f>
        <v>41</v>
      </c>
      <c r="G17">
        <f>IF(COUNTBLANK(RawData[[#This Row],[Retention rate (Full-time), public 2-yrs (3 yr rolling avg)]])=0,_xlfn.RANK.AVG(RawData[[#This Row],[Retention rate (Full-time), public 2-yrs (3 yr rolling avg)]],RawData[Retention rate (Full-time), public 2-yrs (3 yr rolling avg)],1),"")</f>
        <v>25</v>
      </c>
      <c r="H17">
        <f>IF(COUNTBLANK(RawData[[#This Row],[Retention rate (Part-time), public 2-yrs (3 yr rolling avg)]])=0,_xlfn.RANK.AVG(RawData[[#This Row],[Retention rate (Part-time), public 2-yrs (3 yr rolling avg)]],RawData[Retention rate (Part-time), public 2-yrs (3 yr rolling avg)],1),"")</f>
        <v>13</v>
      </c>
      <c r="I17" s="31"/>
      <c r="J17">
        <f t="shared" si="2"/>
        <v>27</v>
      </c>
      <c r="K17">
        <f t="shared" si="3"/>
        <v>23.666666666666668</v>
      </c>
      <c r="L17" s="31"/>
      <c r="M17">
        <f t="shared" si="4"/>
        <v>25.333333333333336</v>
      </c>
      <c r="N17">
        <f t="shared" si="5"/>
        <v>22</v>
      </c>
      <c r="O17" s="31"/>
      <c r="P17">
        <f>IF(A17='State Detail'!BM$7,1,0)</f>
        <v>0</v>
      </c>
      <c r="Q17" s="24" t="e">
        <f t="shared" si="0"/>
        <v>#N/A</v>
      </c>
      <c r="R17" s="24" t="e">
        <f t="shared" si="1"/>
        <v>#N/A</v>
      </c>
      <c r="S17" s="31"/>
      <c r="T17">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10</v>
      </c>
      <c r="U17">
        <f>IF(COUNTBLANK(RawData[[#This Row],[3 Year Average Grad Rate, 150% of normal time, 4 year publics]])=0,_xlfn.RANK.AVG(RawData[[#This Row],[3 Year Average Grad Rate, 150% of normal time, 4 year publics]],RawData[3 Year Average Grad Rate, 150% of normal time, 4 year publics],1),"")</f>
        <v>26</v>
      </c>
      <c r="V17">
        <f>IF(COUNTBLANK(RawData[[#This Row],[3 Year Average full-time retention rate, 4 year publics]])=0,_xlfn.RANK.AVG(RawData[[#This Row],[3 Year Average full-time retention rate, 4 year publics]],RawData[3 Year Average full-time retention rate, 4 year publics],1),"")</f>
        <v>24</v>
      </c>
      <c r="W17">
        <f>IF(COUNTBLANK(RawData[[#This Row],[3 Year Average part-time retention rate, 4 year publics]])=0,_xlfn.RANK.AVG(RawData[[#This Row],[3 Year Average part-time retention rate, 4 year publics]],RawData[3 Year Average part-time retention rate, 4 year publics],1),"")</f>
        <v>23.5</v>
      </c>
    </row>
    <row r="18" spans="1:23" x14ac:dyDescent="0.35">
      <c r="A18" s="29" t="s">
        <v>94</v>
      </c>
      <c r="B18" s="30" t="s">
        <v>95</v>
      </c>
      <c r="C18" s="30">
        <f>IF(COUNTBLANK(RawData[[#This Row],[FTE undergrad enrollment at public 2-yrs, 2019]])=0,_xlfn.RANK.AVG(RawData[[#This Row],[FTE undergrad enrollment at public 2-yrs, 2019]],RawData[FTE undergrad enrollment at public 2-yrs, 2019],0),"")</f>
        <v>29</v>
      </c>
      <c r="D18" s="30">
        <f>IF(COUNTBLANK(RawData[[#This Row],[FTE undergrad enrollment at public 2-yrs, 2023]])=0,_xlfn.RANK.AVG(RawData[[#This Row],[FTE undergrad enrollment at public 2-yrs, 2023]],RawData[FTE undergrad enrollment at public 2-yrs, 2023],0),"")</f>
        <v>28</v>
      </c>
      <c r="E18">
        <f>IF(COUNTBLANK(RawData[[#This Row],[FTE undergrad enrollment change at public 2-yrs (%), 2019 to 2023]])=0,_xlfn.RANK.AVG(RawData[[#This Row],[FTE undergrad enrollment change at public 2-yrs (%), 2019 to 2023]],RawData[FTE undergrad enrollment change at public 2-yrs (%), 2019 to 2023],1),"")</f>
        <v>40</v>
      </c>
      <c r="F18">
        <f>IF(COUNTBLANK(RawData[[#This Row],[3-year Graduation rate, public 2-yrs (3 yr rolling avg)]])=0,_xlfn.RANK.AVG(RawData[[#This Row],[3-year Graduation rate, public 2-yrs (3 yr rolling avg)]],RawData[3-year Graduation rate, public 2-yrs (3 yr rolling avg)],1),"")</f>
        <v>47</v>
      </c>
      <c r="G18">
        <f>IF(COUNTBLANK(RawData[[#This Row],[Retention rate (Full-time), public 2-yrs (3 yr rolling avg)]])=0,_xlfn.RANK.AVG(RawData[[#This Row],[Retention rate (Full-time), public 2-yrs (3 yr rolling avg)]],RawData[Retention rate (Full-time), public 2-yrs (3 yr rolling avg)],1),"")</f>
        <v>39</v>
      </c>
      <c r="H18">
        <f>IF(COUNTBLANK(RawData[[#This Row],[Retention rate (Part-time), public 2-yrs (3 yr rolling avg)]])=0,_xlfn.RANK.AVG(RawData[[#This Row],[Retention rate (Part-time), public 2-yrs (3 yr rolling avg)]],RawData[Retention rate (Part-time), public 2-yrs (3 yr rolling avg)],1),"")</f>
        <v>35</v>
      </c>
      <c r="I18" s="31"/>
      <c r="J18">
        <f t="shared" si="2"/>
        <v>10</v>
      </c>
      <c r="K18">
        <f t="shared" si="3"/>
        <v>9.6666666666666643</v>
      </c>
      <c r="L18" s="31"/>
      <c r="M18">
        <f t="shared" si="4"/>
        <v>9.8333333333333321</v>
      </c>
      <c r="N18">
        <f t="shared" si="5"/>
        <v>48</v>
      </c>
      <c r="O18" s="31"/>
      <c r="P18">
        <f>IF(A18='State Detail'!BM$7,1,0)</f>
        <v>1</v>
      </c>
      <c r="Q18" s="24">
        <f t="shared" si="0"/>
        <v>10</v>
      </c>
      <c r="R18" s="24">
        <f t="shared" si="1"/>
        <v>9.6666666666666643</v>
      </c>
      <c r="S18" s="31"/>
      <c r="T18">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27</v>
      </c>
      <c r="U18">
        <f>IF(COUNTBLANK(RawData[[#This Row],[3 Year Average Grad Rate, 150% of normal time, 4 year publics]])=0,_xlfn.RANK.AVG(RawData[[#This Row],[3 Year Average Grad Rate, 150% of normal time, 4 year publics]],RawData[3 Year Average Grad Rate, 150% of normal time, 4 year publics],1),"")</f>
        <v>19</v>
      </c>
      <c r="V18">
        <f>IF(COUNTBLANK(RawData[[#This Row],[3 Year Average full-time retention rate, 4 year publics]])=0,_xlfn.RANK.AVG(RawData[[#This Row],[3 Year Average full-time retention rate, 4 year publics]],RawData[3 Year Average full-time retention rate, 4 year publics],1),"")</f>
        <v>18</v>
      </c>
      <c r="W18">
        <f>IF(COUNTBLANK(RawData[[#This Row],[3 Year Average part-time retention rate, 4 year publics]])=0,_xlfn.RANK.AVG(RawData[[#This Row],[3 Year Average part-time retention rate, 4 year publics]],RawData[3 Year Average part-time retention rate, 4 year publics],1),"")</f>
        <v>13</v>
      </c>
    </row>
    <row r="19" spans="1:23" x14ac:dyDescent="0.35">
      <c r="A19" s="29" t="s">
        <v>96</v>
      </c>
      <c r="B19" s="30" t="s">
        <v>97</v>
      </c>
      <c r="C19" s="30">
        <f>IF(COUNTBLANK(RawData[[#This Row],[FTE undergrad enrollment at public 2-yrs, 2019]])=0,_xlfn.RANK.AVG(RawData[[#This Row],[FTE undergrad enrollment at public 2-yrs, 2019]],RawData[FTE undergrad enrollment at public 2-yrs, 2019],0),"")</f>
        <v>30</v>
      </c>
      <c r="D19" s="30">
        <f>IF(COUNTBLANK(RawData[[#This Row],[FTE undergrad enrollment at public 2-yrs, 2023]])=0,_xlfn.RANK.AVG(RawData[[#This Row],[FTE undergrad enrollment at public 2-yrs, 2023]],RawData[FTE undergrad enrollment at public 2-yrs, 2023],0),"")</f>
        <v>29</v>
      </c>
      <c r="E19">
        <f>IF(COUNTBLANK(RawData[[#This Row],[FTE undergrad enrollment change at public 2-yrs (%), 2019 to 2023]])=0,_xlfn.RANK.AVG(RawData[[#This Row],[FTE undergrad enrollment change at public 2-yrs (%), 2019 to 2023]],RawData[FTE undergrad enrollment change at public 2-yrs (%), 2019 to 2023],1),"")</f>
        <v>37</v>
      </c>
      <c r="F19">
        <f>IF(COUNTBLANK(RawData[[#This Row],[3-year Graduation rate, public 2-yrs (3 yr rolling avg)]])=0,_xlfn.RANK.AVG(RawData[[#This Row],[3-year Graduation rate, public 2-yrs (3 yr rolling avg)]],RawData[3-year Graduation rate, public 2-yrs (3 yr rolling avg)],1),"")</f>
        <v>13</v>
      </c>
      <c r="G19">
        <f>IF(COUNTBLANK(RawData[[#This Row],[Retention rate (Full-time), public 2-yrs (3 yr rolling avg)]])=0,_xlfn.RANK.AVG(RawData[[#This Row],[Retention rate (Full-time), public 2-yrs (3 yr rolling avg)]],RawData[Retention rate (Full-time), public 2-yrs (3 yr rolling avg)],1),"")</f>
        <v>4</v>
      </c>
      <c r="H19">
        <f>IF(COUNTBLANK(RawData[[#This Row],[Retention rate (Part-time), public 2-yrs (3 yr rolling avg)]])=0,_xlfn.RANK.AVG(RawData[[#This Row],[Retention rate (Part-time), public 2-yrs (3 yr rolling avg)]],RawData[Retention rate (Part-time), public 2-yrs (3 yr rolling avg)],1),"")</f>
        <v>2</v>
      </c>
      <c r="I19" s="31"/>
      <c r="J19">
        <f t="shared" si="2"/>
        <v>13</v>
      </c>
      <c r="K19">
        <f t="shared" si="3"/>
        <v>43.666666666666664</v>
      </c>
      <c r="L19" s="31"/>
      <c r="M19">
        <f t="shared" si="4"/>
        <v>28.333333333333332</v>
      </c>
      <c r="N19">
        <f t="shared" si="5"/>
        <v>17</v>
      </c>
      <c r="O19" s="31"/>
      <c r="P19">
        <f>IF(A19='State Detail'!BM$7,1,0)</f>
        <v>0</v>
      </c>
      <c r="Q19" s="24" t="e">
        <f t="shared" si="0"/>
        <v>#N/A</v>
      </c>
      <c r="R19" s="24" t="e">
        <f t="shared" si="1"/>
        <v>#N/A</v>
      </c>
      <c r="S19" s="31"/>
      <c r="T19">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32</v>
      </c>
      <c r="U19">
        <f>IF(COUNTBLANK(RawData[[#This Row],[3 Year Average Grad Rate, 150% of normal time, 4 year publics]])=0,_xlfn.RANK.AVG(RawData[[#This Row],[3 Year Average Grad Rate, 150% of normal time, 4 year publics]],RawData[3 Year Average Grad Rate, 150% of normal time, 4 year publics],1),"")</f>
        <v>5</v>
      </c>
      <c r="V19">
        <f>IF(COUNTBLANK(RawData[[#This Row],[3 Year Average full-time retention rate, 4 year publics]])=0,_xlfn.RANK.AVG(RawData[[#This Row],[3 Year Average full-time retention rate, 4 year publics]],RawData[3 Year Average full-time retention rate, 4 year publics],1),"")</f>
        <v>6.5</v>
      </c>
      <c r="W19">
        <f>IF(COUNTBLANK(RawData[[#This Row],[3 Year Average part-time retention rate, 4 year publics]])=0,_xlfn.RANK.AVG(RawData[[#This Row],[3 Year Average part-time retention rate, 4 year publics]],RawData[3 Year Average part-time retention rate, 4 year publics],1),"")</f>
        <v>31</v>
      </c>
    </row>
    <row r="20" spans="1:23" x14ac:dyDescent="0.35">
      <c r="A20" s="29" t="s">
        <v>98</v>
      </c>
      <c r="B20" s="30" t="s">
        <v>99</v>
      </c>
      <c r="C20" s="30">
        <f>IF(COUNTBLANK(RawData[[#This Row],[FTE undergrad enrollment at public 2-yrs, 2019]])=0,_xlfn.RANK.AVG(RawData[[#This Row],[FTE undergrad enrollment at public 2-yrs, 2019]],RawData[FTE undergrad enrollment at public 2-yrs, 2019],0),"")</f>
        <v>42</v>
      </c>
      <c r="D20" s="30">
        <f>IF(COUNTBLANK(RawData[[#This Row],[FTE undergrad enrollment at public 2-yrs, 2023]])=0,_xlfn.RANK.AVG(RawData[[#This Row],[FTE undergrad enrollment at public 2-yrs, 2023]],RawData[FTE undergrad enrollment at public 2-yrs, 2023],0),"")</f>
        <v>42</v>
      </c>
      <c r="E20">
        <f>IF(COUNTBLANK(RawData[[#This Row],[FTE undergrad enrollment change at public 2-yrs (%), 2019 to 2023]])=0,_xlfn.RANK.AVG(RawData[[#This Row],[FTE undergrad enrollment change at public 2-yrs (%), 2019 to 2023]],RawData[FTE undergrad enrollment change at public 2-yrs (%), 2019 to 2023],1),"")</f>
        <v>47</v>
      </c>
      <c r="F20">
        <f>IF(COUNTBLANK(RawData[[#This Row],[3-year Graduation rate, public 2-yrs (3 yr rolling avg)]])=0,_xlfn.RANK.AVG(RawData[[#This Row],[3-year Graduation rate, public 2-yrs (3 yr rolling avg)]],RawData[3-year Graduation rate, public 2-yrs (3 yr rolling avg)],1),"")</f>
        <v>18</v>
      </c>
      <c r="G20">
        <f>IF(COUNTBLANK(RawData[[#This Row],[Retention rate (Full-time), public 2-yrs (3 yr rolling avg)]])=0,_xlfn.RANK.AVG(RawData[[#This Row],[Retention rate (Full-time), public 2-yrs (3 yr rolling avg)]],RawData[Retention rate (Full-time), public 2-yrs (3 yr rolling avg)],1),"")</f>
        <v>7</v>
      </c>
      <c r="H20">
        <f>IF(COUNTBLANK(RawData[[#This Row],[Retention rate (Part-time), public 2-yrs (3 yr rolling avg)]])=0,_xlfn.RANK.AVG(RawData[[#This Row],[Retention rate (Part-time), public 2-yrs (3 yr rolling avg)]],RawData[Retention rate (Part-time), public 2-yrs (3 yr rolling avg)],1),"")</f>
        <v>29</v>
      </c>
      <c r="I20" s="31"/>
      <c r="J20">
        <f t="shared" si="2"/>
        <v>3</v>
      </c>
      <c r="K20">
        <f t="shared" si="3"/>
        <v>32</v>
      </c>
      <c r="L20" s="31"/>
      <c r="M20">
        <f t="shared" si="4"/>
        <v>17.5</v>
      </c>
      <c r="N20">
        <f t="shared" si="5"/>
        <v>40</v>
      </c>
      <c r="O20" s="31"/>
      <c r="P20">
        <f>IF(A20='State Detail'!BM$7,1,0)</f>
        <v>0</v>
      </c>
      <c r="Q20" s="24" t="e">
        <f t="shared" si="0"/>
        <v>#N/A</v>
      </c>
      <c r="R20" s="24" t="e">
        <f t="shared" si="1"/>
        <v>#N/A</v>
      </c>
      <c r="S20" s="31"/>
      <c r="T20">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20</v>
      </c>
      <c r="U20">
        <f>IF(COUNTBLANK(RawData[[#This Row],[3 Year Average Grad Rate, 150% of normal time, 4 year publics]])=0,_xlfn.RANK.AVG(RawData[[#This Row],[3 Year Average Grad Rate, 150% of normal time, 4 year publics]],RawData[3 Year Average Grad Rate, 150% of normal time, 4 year publics],1),"")</f>
        <v>3</v>
      </c>
      <c r="V20">
        <f>IF(COUNTBLANK(RawData[[#This Row],[3 Year Average full-time retention rate, 4 year publics]])=0,_xlfn.RANK.AVG(RawData[[#This Row],[3 Year Average full-time retention rate, 4 year publics]],RawData[3 Year Average full-time retention rate, 4 year publics],1),"")</f>
        <v>3</v>
      </c>
      <c r="W20">
        <f>IF(COUNTBLANK(RawData[[#This Row],[3 Year Average part-time retention rate, 4 year publics]])=0,_xlfn.RANK.AVG(RawData[[#This Row],[3 Year Average part-time retention rate, 4 year publics]],RawData[3 Year Average part-time retention rate, 4 year publics],1),"")</f>
        <v>14</v>
      </c>
    </row>
    <row r="21" spans="1:23" x14ac:dyDescent="0.35">
      <c r="A21" s="29" t="s">
        <v>100</v>
      </c>
      <c r="B21" s="30" t="s">
        <v>101</v>
      </c>
      <c r="C21" s="30">
        <f>IF(COUNTBLANK(RawData[[#This Row],[FTE undergrad enrollment at public 2-yrs, 2019]])=0,_xlfn.RANK.AVG(RawData[[#This Row],[FTE undergrad enrollment at public 2-yrs, 2019]],RawData[FTE undergrad enrollment at public 2-yrs, 2019],0),"")</f>
        <v>16</v>
      </c>
      <c r="D21" s="30">
        <f>IF(COUNTBLANK(RawData[[#This Row],[FTE undergrad enrollment at public 2-yrs, 2023]])=0,_xlfn.RANK.AVG(RawData[[#This Row],[FTE undergrad enrollment at public 2-yrs, 2023]],RawData[FTE undergrad enrollment at public 2-yrs, 2023],0),"")</f>
        <v>17</v>
      </c>
      <c r="E21">
        <f>IF(COUNTBLANK(RawData[[#This Row],[FTE undergrad enrollment change at public 2-yrs (%), 2019 to 2023]])=0,_xlfn.RANK.AVG(RawData[[#This Row],[FTE undergrad enrollment change at public 2-yrs (%), 2019 to 2023]],RawData[FTE undergrad enrollment change at public 2-yrs (%), 2019 to 2023],1),"")</f>
        <v>13</v>
      </c>
      <c r="F21">
        <f>IF(COUNTBLANK(RawData[[#This Row],[3-year Graduation rate, public 2-yrs (3 yr rolling avg)]])=0,_xlfn.RANK.AVG(RawData[[#This Row],[3-year Graduation rate, public 2-yrs (3 yr rolling avg)]],RawData[3-year Graduation rate, public 2-yrs (3 yr rolling avg)],1),"")</f>
        <v>15</v>
      </c>
      <c r="G21">
        <f>IF(COUNTBLANK(RawData[[#This Row],[Retention rate (Full-time), public 2-yrs (3 yr rolling avg)]])=0,_xlfn.RANK.AVG(RawData[[#This Row],[Retention rate (Full-time), public 2-yrs (3 yr rolling avg)]],RawData[Retention rate (Full-time), public 2-yrs (3 yr rolling avg)],1),"")</f>
        <v>38</v>
      </c>
      <c r="H21">
        <f>IF(COUNTBLANK(RawData[[#This Row],[Retention rate (Part-time), public 2-yrs (3 yr rolling avg)]])=0,_xlfn.RANK.AVG(RawData[[#This Row],[Retention rate (Part-time), public 2-yrs (3 yr rolling avg)]],RawData[Retention rate (Part-time), public 2-yrs (3 yr rolling avg)],1),"")</f>
        <v>32</v>
      </c>
      <c r="I21" s="31"/>
      <c r="J21">
        <f t="shared" si="2"/>
        <v>37</v>
      </c>
      <c r="K21">
        <f t="shared" si="3"/>
        <v>21.666666666666668</v>
      </c>
      <c r="L21" s="31"/>
      <c r="M21">
        <f t="shared" si="4"/>
        <v>29.333333333333336</v>
      </c>
      <c r="N21">
        <f t="shared" si="5"/>
        <v>15</v>
      </c>
      <c r="O21" s="31"/>
      <c r="P21">
        <f>IF(A21='State Detail'!BM$7,1,0)</f>
        <v>0</v>
      </c>
      <c r="Q21" s="24" t="e">
        <f t="shared" si="0"/>
        <v>#N/A</v>
      </c>
      <c r="R21" s="24" t="e">
        <f t="shared" si="1"/>
        <v>#N/A</v>
      </c>
      <c r="S21" s="31"/>
      <c r="T21">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33</v>
      </c>
      <c r="U21">
        <f>IF(COUNTBLANK(RawData[[#This Row],[3 Year Average Grad Rate, 150% of normal time, 4 year publics]])=0,_xlfn.RANK.AVG(RawData[[#This Row],[3 Year Average Grad Rate, 150% of normal time, 4 year publics]],RawData[3 Year Average Grad Rate, 150% of normal time, 4 year publics],1),"")</f>
        <v>43</v>
      </c>
      <c r="V21">
        <f>IF(COUNTBLANK(RawData[[#This Row],[3 Year Average full-time retention rate, 4 year publics]])=0,_xlfn.RANK.AVG(RawData[[#This Row],[3 Year Average full-time retention rate, 4 year publics]],RawData[3 Year Average full-time retention rate, 4 year publics],1),"")</f>
        <v>44.5</v>
      </c>
      <c r="W21">
        <f>IF(COUNTBLANK(RawData[[#This Row],[3 Year Average part-time retention rate, 4 year publics]])=0,_xlfn.RANK.AVG(RawData[[#This Row],[3 Year Average part-time retention rate, 4 year publics]],RawData[3 Year Average part-time retention rate, 4 year publics],1),"")</f>
        <v>4</v>
      </c>
    </row>
    <row r="22" spans="1:23" x14ac:dyDescent="0.35">
      <c r="A22" s="29" t="s">
        <v>104</v>
      </c>
      <c r="B22" s="30" t="s">
        <v>105</v>
      </c>
      <c r="C22" s="30">
        <f>IF(COUNTBLANK(RawData[[#This Row],[FTE undergrad enrollment at public 2-yrs, 2019]])=0,_xlfn.RANK.AVG(RawData[[#This Row],[FTE undergrad enrollment at public 2-yrs, 2019]],RawData[FTE undergrad enrollment at public 2-yrs, 2019],0),"")</f>
        <v>27</v>
      </c>
      <c r="D22" s="30">
        <f>IF(COUNTBLANK(RawData[[#This Row],[FTE undergrad enrollment at public 2-yrs, 2023]])=0,_xlfn.RANK.AVG(RawData[[#This Row],[FTE undergrad enrollment at public 2-yrs, 2023]],RawData[FTE undergrad enrollment at public 2-yrs, 2023],0),"")</f>
        <v>30</v>
      </c>
      <c r="E22">
        <f>IF(COUNTBLANK(RawData[[#This Row],[FTE undergrad enrollment change at public 2-yrs (%), 2019 to 2023]])=0,_xlfn.RANK.AVG(RawData[[#This Row],[FTE undergrad enrollment change at public 2-yrs (%), 2019 to 2023]],RawData[FTE undergrad enrollment change at public 2-yrs (%), 2019 to 2023],1),"")</f>
        <v>1</v>
      </c>
      <c r="F22">
        <f>IF(COUNTBLANK(RawData[[#This Row],[3-year Graduation rate, public 2-yrs (3 yr rolling avg)]])=0,_xlfn.RANK.AVG(RawData[[#This Row],[3-year Graduation rate, public 2-yrs (3 yr rolling avg)]],RawData[3-year Graduation rate, public 2-yrs (3 yr rolling avg)],1),"")</f>
        <v>5</v>
      </c>
      <c r="G22">
        <f>IF(COUNTBLANK(RawData[[#This Row],[Retention rate (Full-time), public 2-yrs (3 yr rolling avg)]])=0,_xlfn.RANK.AVG(RawData[[#This Row],[Retention rate (Full-time), public 2-yrs (3 yr rolling avg)]],RawData[Retention rate (Full-time), public 2-yrs (3 yr rolling avg)],1),"")</f>
        <v>14</v>
      </c>
      <c r="H22">
        <f>IF(COUNTBLANK(RawData[[#This Row],[Retention rate (Part-time), public 2-yrs (3 yr rolling avg)]])=0,_xlfn.RANK.AVG(RawData[[#This Row],[Retention rate (Part-time), public 2-yrs (3 yr rolling avg)]],RawData[Retention rate (Part-time), public 2-yrs (3 yr rolling avg)],1),"")</f>
        <v>27</v>
      </c>
      <c r="I22" s="31"/>
      <c r="J22">
        <f t="shared" si="2"/>
        <v>49</v>
      </c>
      <c r="K22">
        <f t="shared" si="3"/>
        <v>34.666666666666664</v>
      </c>
      <c r="L22" s="31"/>
      <c r="M22">
        <f t="shared" si="4"/>
        <v>41.833333333333329</v>
      </c>
      <c r="N22">
        <f t="shared" si="5"/>
        <v>4</v>
      </c>
      <c r="O22" s="31"/>
      <c r="P22">
        <f>IF(A22='State Detail'!BM$7,1,0)</f>
        <v>0</v>
      </c>
      <c r="Q22" s="24" t="e">
        <f t="shared" si="0"/>
        <v>#N/A</v>
      </c>
      <c r="R22" s="24" t="e">
        <f t="shared" si="1"/>
        <v>#N/A</v>
      </c>
      <c r="S22" s="31"/>
      <c r="T22">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13</v>
      </c>
      <c r="U22">
        <f>IF(COUNTBLANK(RawData[[#This Row],[3 Year Average Grad Rate, 150% of normal time, 4 year publics]])=0,_xlfn.RANK.AVG(RawData[[#This Row],[3 Year Average Grad Rate, 150% of normal time, 4 year publics]],RawData[3 Year Average Grad Rate, 150% of normal time, 4 year publics],1),"")</f>
        <v>33.5</v>
      </c>
      <c r="V22">
        <f>IF(COUNTBLANK(RawData[[#This Row],[3 Year Average full-time retention rate, 4 year publics]])=0,_xlfn.RANK.AVG(RawData[[#This Row],[3 Year Average full-time retention rate, 4 year publics]],RawData[3 Year Average full-time retention rate, 4 year publics],1),"")</f>
        <v>24</v>
      </c>
      <c r="W22">
        <f>IF(COUNTBLANK(RawData[[#This Row],[3 Year Average part-time retention rate, 4 year publics]])=0,_xlfn.RANK.AVG(RawData[[#This Row],[3 Year Average part-time retention rate, 4 year publics]],RawData[3 Year Average part-time retention rate, 4 year publics],1),"")</f>
        <v>27</v>
      </c>
    </row>
    <row r="23" spans="1:23" x14ac:dyDescent="0.35">
      <c r="A23" s="29" t="s">
        <v>107</v>
      </c>
      <c r="B23" s="30" t="s">
        <v>108</v>
      </c>
      <c r="C23" s="30">
        <f>IF(COUNTBLANK(RawData[[#This Row],[FTE undergrad enrollment at public 2-yrs, 2019]])=0,_xlfn.RANK.AVG(RawData[[#This Row],[FTE undergrad enrollment at public 2-yrs, 2019]],RawData[FTE undergrad enrollment at public 2-yrs, 2019],0),"")</f>
        <v>9</v>
      </c>
      <c r="D23" s="30">
        <f>IF(COUNTBLANK(RawData[[#This Row],[FTE undergrad enrollment at public 2-yrs, 2023]])=0,_xlfn.RANK.AVG(RawData[[#This Row],[FTE undergrad enrollment at public 2-yrs, 2023]],RawData[FTE undergrad enrollment at public 2-yrs, 2023],0),"")</f>
        <v>9</v>
      </c>
      <c r="E23">
        <f>IF(COUNTBLANK(RawData[[#This Row],[FTE undergrad enrollment change at public 2-yrs (%), 2019 to 2023]])=0,_xlfn.RANK.AVG(RawData[[#This Row],[FTE undergrad enrollment change at public 2-yrs (%), 2019 to 2023]],RawData[FTE undergrad enrollment change at public 2-yrs (%), 2019 to 2023],1),"")</f>
        <v>17</v>
      </c>
      <c r="F23">
        <f>IF(COUNTBLANK(RawData[[#This Row],[3-year Graduation rate, public 2-yrs (3 yr rolling avg)]])=0,_xlfn.RANK.AVG(RawData[[#This Row],[3-year Graduation rate, public 2-yrs (3 yr rolling avg)]],RawData[3-year Graduation rate, public 2-yrs (3 yr rolling avg)],1),"")</f>
        <v>2</v>
      </c>
      <c r="G23">
        <f>IF(COUNTBLANK(RawData[[#This Row],[Retention rate (Full-time), public 2-yrs (3 yr rolling avg)]])=0,_xlfn.RANK.AVG(RawData[[#This Row],[Retention rate (Full-time), public 2-yrs (3 yr rolling avg)]],RawData[Retention rate (Full-time), public 2-yrs (3 yr rolling avg)],1),"")</f>
        <v>31</v>
      </c>
      <c r="H23">
        <f>IF(COUNTBLANK(RawData[[#This Row],[Retention rate (Part-time), public 2-yrs (3 yr rolling avg)]])=0,_xlfn.RANK.AVG(RawData[[#This Row],[Retention rate (Part-time), public 2-yrs (3 yr rolling avg)]],RawData[Retention rate (Part-time), public 2-yrs (3 yr rolling avg)],1),"")</f>
        <v>41</v>
      </c>
      <c r="I23" s="31"/>
      <c r="J23">
        <f t="shared" si="2"/>
        <v>33</v>
      </c>
      <c r="K23">
        <f t="shared" si="3"/>
        <v>25.333333333333332</v>
      </c>
      <c r="L23" s="31"/>
      <c r="M23">
        <f t="shared" si="4"/>
        <v>29.166666666666664</v>
      </c>
      <c r="N23">
        <f t="shared" si="5"/>
        <v>16</v>
      </c>
      <c r="O23" s="31"/>
      <c r="P23">
        <f>IF(A23='State Detail'!BM$7,1,0)</f>
        <v>0</v>
      </c>
      <c r="Q23" s="24" t="e">
        <f t="shared" si="0"/>
        <v>#N/A</v>
      </c>
      <c r="R23" s="24" t="e">
        <f t="shared" si="1"/>
        <v>#N/A</v>
      </c>
      <c r="S23" s="31"/>
      <c r="T23">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14</v>
      </c>
      <c r="U23">
        <f>IF(COUNTBLANK(RawData[[#This Row],[3 Year Average Grad Rate, 150% of normal time, 4 year publics]])=0,_xlfn.RANK.AVG(RawData[[#This Row],[3 Year Average Grad Rate, 150% of normal time, 4 year publics]],RawData[3 Year Average Grad Rate, 150% of normal time, 4 year publics],1),"")</f>
        <v>41.5</v>
      </c>
      <c r="V23">
        <f>IF(COUNTBLANK(RawData[[#This Row],[3 Year Average full-time retention rate, 4 year publics]])=0,_xlfn.RANK.AVG(RawData[[#This Row],[3 Year Average full-time retention rate, 4 year publics]],RawData[3 Year Average full-time retention rate, 4 year publics],1),"")</f>
        <v>43</v>
      </c>
      <c r="W23">
        <f>IF(COUNTBLANK(RawData[[#This Row],[3 Year Average part-time retention rate, 4 year publics]])=0,_xlfn.RANK.AVG(RawData[[#This Row],[3 Year Average part-time retention rate, 4 year publics]],RawData[3 Year Average part-time retention rate, 4 year publics],1),"")</f>
        <v>39</v>
      </c>
    </row>
    <row r="24" spans="1:23" x14ac:dyDescent="0.35">
      <c r="A24" s="29" t="s">
        <v>110</v>
      </c>
      <c r="B24" s="30" t="s">
        <v>111</v>
      </c>
      <c r="C24" s="30">
        <f>IF(COUNTBLANK(RawData[[#This Row],[FTE undergrad enrollment at public 2-yrs, 2019]])=0,_xlfn.RANK.AVG(RawData[[#This Row],[FTE undergrad enrollment at public 2-yrs, 2019]],RawData[FTE undergrad enrollment at public 2-yrs, 2019],0),"")</f>
        <v>15</v>
      </c>
      <c r="D24" s="30">
        <f>IF(COUNTBLANK(RawData[[#This Row],[FTE undergrad enrollment at public 2-yrs, 2023]])=0,_xlfn.RANK.AVG(RawData[[#This Row],[FTE undergrad enrollment at public 2-yrs, 2023]],RawData[FTE undergrad enrollment at public 2-yrs, 2023],0),"")</f>
        <v>15</v>
      </c>
      <c r="E24">
        <f>IF(COUNTBLANK(RawData[[#This Row],[FTE undergrad enrollment change at public 2-yrs (%), 2019 to 2023]])=0,_xlfn.RANK.AVG(RawData[[#This Row],[FTE undergrad enrollment change at public 2-yrs (%), 2019 to 2023]],RawData[FTE undergrad enrollment change at public 2-yrs (%), 2019 to 2023],1),"")</f>
        <v>26</v>
      </c>
      <c r="F24">
        <f>IF(COUNTBLANK(RawData[[#This Row],[3-year Graduation rate, public 2-yrs (3 yr rolling avg)]])=0,_xlfn.RANK.AVG(RawData[[#This Row],[3-year Graduation rate, public 2-yrs (3 yr rolling avg)]],RawData[3-year Graduation rate, public 2-yrs (3 yr rolling avg)],1),"")</f>
        <v>33</v>
      </c>
      <c r="G24">
        <f>IF(COUNTBLANK(RawData[[#This Row],[Retention rate (Full-time), public 2-yrs (3 yr rolling avg)]])=0,_xlfn.RANK.AVG(RawData[[#This Row],[Retention rate (Full-time), public 2-yrs (3 yr rolling avg)]],RawData[Retention rate (Full-time), public 2-yrs (3 yr rolling avg)],1),"")</f>
        <v>23</v>
      </c>
      <c r="H24">
        <f>IF(COUNTBLANK(RawData[[#This Row],[Retention rate (Part-time), public 2-yrs (3 yr rolling avg)]])=0,_xlfn.RANK.AVG(RawData[[#This Row],[Retention rate (Part-time), public 2-yrs (3 yr rolling avg)]],RawData[Retention rate (Part-time), public 2-yrs (3 yr rolling avg)],1),"")</f>
        <v>42</v>
      </c>
      <c r="I24" s="31"/>
      <c r="J24">
        <f t="shared" si="2"/>
        <v>24</v>
      </c>
      <c r="K24">
        <f t="shared" si="3"/>
        <v>17.333333333333336</v>
      </c>
      <c r="L24" s="31"/>
      <c r="M24">
        <f t="shared" si="4"/>
        <v>20.666666666666668</v>
      </c>
      <c r="N24">
        <f t="shared" si="5"/>
        <v>33</v>
      </c>
      <c r="O24" s="31"/>
      <c r="P24">
        <f>IF(A24='State Detail'!BM$7,1,0)</f>
        <v>0</v>
      </c>
      <c r="Q24" s="24" t="e">
        <f t="shared" si="0"/>
        <v>#N/A</v>
      </c>
      <c r="R24" s="24" t="e">
        <f t="shared" si="1"/>
        <v>#N/A</v>
      </c>
      <c r="S24" s="31"/>
      <c r="T24">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5</v>
      </c>
      <c r="U24">
        <f>IF(COUNTBLANK(RawData[[#This Row],[3 Year Average Grad Rate, 150% of normal time, 4 year publics]])=0,_xlfn.RANK.AVG(RawData[[#This Row],[3 Year Average Grad Rate, 150% of normal time, 4 year publics]],RawData[3 Year Average Grad Rate, 150% of normal time, 4 year publics],1),"")</f>
        <v>33.5</v>
      </c>
      <c r="V24">
        <f>IF(COUNTBLANK(RawData[[#This Row],[3 Year Average full-time retention rate, 4 year publics]])=0,_xlfn.RANK.AVG(RawData[[#This Row],[3 Year Average full-time retention rate, 4 year publics]],RawData[3 Year Average full-time retention rate, 4 year publics],1),"")</f>
        <v>30</v>
      </c>
      <c r="W24">
        <f>IF(COUNTBLANK(RawData[[#This Row],[3 Year Average part-time retention rate, 4 year publics]])=0,_xlfn.RANK.AVG(RawData[[#This Row],[3 Year Average part-time retention rate, 4 year publics]],RawData[3 Year Average part-time retention rate, 4 year publics],1),"")</f>
        <v>35</v>
      </c>
    </row>
    <row r="25" spans="1:23" x14ac:dyDescent="0.35">
      <c r="A25" s="29" t="s">
        <v>112</v>
      </c>
      <c r="B25" s="30" t="s">
        <v>113</v>
      </c>
      <c r="C25" s="30">
        <f>IF(COUNTBLANK(RawData[[#This Row],[FTE undergrad enrollment at public 2-yrs, 2019]])=0,_xlfn.RANK.AVG(RawData[[#This Row],[FTE undergrad enrollment at public 2-yrs, 2019]],RawData[FTE undergrad enrollment at public 2-yrs, 2019],0),"")</f>
        <v>18</v>
      </c>
      <c r="D25" s="30">
        <f>IF(COUNTBLANK(RawData[[#This Row],[FTE undergrad enrollment at public 2-yrs, 2023]])=0,_xlfn.RANK.AVG(RawData[[#This Row],[FTE undergrad enrollment at public 2-yrs, 2023]],RawData[FTE undergrad enrollment at public 2-yrs, 2023],0),"")</f>
        <v>20</v>
      </c>
      <c r="E25">
        <f>IF(COUNTBLANK(RawData[[#This Row],[FTE undergrad enrollment change at public 2-yrs (%), 2019 to 2023]])=0,_xlfn.RANK.AVG(RawData[[#This Row],[FTE undergrad enrollment change at public 2-yrs (%), 2019 to 2023]],RawData[FTE undergrad enrollment change at public 2-yrs (%), 2019 to 2023],1),"")</f>
        <v>22</v>
      </c>
      <c r="F25">
        <f>IF(COUNTBLANK(RawData[[#This Row],[3-year Graduation rate, public 2-yrs (3 yr rolling avg)]])=0,_xlfn.RANK.AVG(RawData[[#This Row],[3-year Graduation rate, public 2-yrs (3 yr rolling avg)]],RawData[3-year Graduation rate, public 2-yrs (3 yr rolling avg)],1),"")</f>
        <v>45</v>
      </c>
      <c r="G25">
        <f>IF(COUNTBLANK(RawData[[#This Row],[Retention rate (Full-time), public 2-yrs (3 yr rolling avg)]])=0,_xlfn.RANK.AVG(RawData[[#This Row],[Retention rate (Full-time), public 2-yrs (3 yr rolling avg)]],RawData[Retention rate (Full-time), public 2-yrs (3 yr rolling avg)],1),"")</f>
        <v>36</v>
      </c>
      <c r="H25">
        <f>IF(COUNTBLANK(RawData[[#This Row],[Retention rate (Part-time), public 2-yrs (3 yr rolling avg)]])=0,_xlfn.RANK.AVG(RawData[[#This Row],[Retention rate (Part-time), public 2-yrs (3 yr rolling avg)]],RawData[Retention rate (Part-time), public 2-yrs (3 yr rolling avg)],1),"")</f>
        <v>1</v>
      </c>
      <c r="I25" s="31"/>
      <c r="J25">
        <f t="shared" si="2"/>
        <v>28</v>
      </c>
      <c r="K25">
        <f t="shared" si="3"/>
        <v>22.666666666666668</v>
      </c>
      <c r="L25" s="31"/>
      <c r="M25">
        <f t="shared" si="4"/>
        <v>25.333333333333336</v>
      </c>
      <c r="N25">
        <f t="shared" si="5"/>
        <v>22</v>
      </c>
      <c r="O25" s="31"/>
      <c r="P25">
        <f>IF(A25='State Detail'!BM$7,1,0)</f>
        <v>0</v>
      </c>
      <c r="Q25" s="24" t="e">
        <f t="shared" si="0"/>
        <v>#N/A</v>
      </c>
      <c r="R25" s="24" t="e">
        <f t="shared" si="1"/>
        <v>#N/A</v>
      </c>
      <c r="S25" s="31"/>
      <c r="T25">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9</v>
      </c>
      <c r="U25">
        <f>IF(COUNTBLANK(RawData[[#This Row],[3 Year Average Grad Rate, 150% of normal time, 4 year publics]])=0,_xlfn.RANK.AVG(RawData[[#This Row],[3 Year Average Grad Rate, 150% of normal time, 4 year publics]],RawData[3 Year Average Grad Rate, 150% of normal time, 4 year publics],1),"")</f>
        <v>16</v>
      </c>
      <c r="V25">
        <f>IF(COUNTBLANK(RawData[[#This Row],[3 Year Average full-time retention rate, 4 year publics]])=0,_xlfn.RANK.AVG(RawData[[#This Row],[3 Year Average full-time retention rate, 4 year publics]],RawData[3 Year Average full-time retention rate, 4 year publics],1),"")</f>
        <v>27.5</v>
      </c>
      <c r="W25">
        <f>IF(COUNTBLANK(RawData[[#This Row],[3 Year Average part-time retention rate, 4 year publics]])=0,_xlfn.RANK.AVG(RawData[[#This Row],[3 Year Average part-time retention rate, 4 year publics]],RawData[3 Year Average part-time retention rate, 4 year publics],1),"")</f>
        <v>6</v>
      </c>
    </row>
    <row r="26" spans="1:23" x14ac:dyDescent="0.35">
      <c r="A26" s="29" t="s">
        <v>114</v>
      </c>
      <c r="B26" s="30" t="s">
        <v>115</v>
      </c>
      <c r="C26" s="30">
        <f>IF(COUNTBLANK(RawData[[#This Row],[FTE undergrad enrollment at public 2-yrs, 2019]])=0,_xlfn.RANK.AVG(RawData[[#This Row],[FTE undergrad enrollment at public 2-yrs, 2019]],RawData[FTE undergrad enrollment at public 2-yrs, 2019],0),"")</f>
        <v>24</v>
      </c>
      <c r="D26" s="30">
        <f>IF(COUNTBLANK(RawData[[#This Row],[FTE undergrad enrollment at public 2-yrs, 2023]])=0,_xlfn.RANK.AVG(RawData[[#This Row],[FTE undergrad enrollment at public 2-yrs, 2023]],RawData[FTE undergrad enrollment at public 2-yrs, 2023],0),"")</f>
        <v>24</v>
      </c>
      <c r="E26">
        <f>IF(COUNTBLANK(RawData[[#This Row],[FTE undergrad enrollment change at public 2-yrs (%), 2019 to 2023]])=0,_xlfn.RANK.AVG(RawData[[#This Row],[FTE undergrad enrollment change at public 2-yrs (%), 2019 to 2023]],RawData[FTE undergrad enrollment change at public 2-yrs (%), 2019 to 2023],1),"")</f>
        <v>27</v>
      </c>
      <c r="F26">
        <f>IF(COUNTBLANK(RawData[[#This Row],[3-year Graduation rate, public 2-yrs (3 yr rolling avg)]])=0,_xlfn.RANK.AVG(RawData[[#This Row],[3-year Graduation rate, public 2-yrs (3 yr rolling avg)]],RawData[3-year Graduation rate, public 2-yrs (3 yr rolling avg)],1),"")</f>
        <v>31</v>
      </c>
      <c r="G26">
        <f>IF(COUNTBLANK(RawData[[#This Row],[Retention rate (Full-time), public 2-yrs (3 yr rolling avg)]])=0,_xlfn.RANK.AVG(RawData[[#This Row],[Retention rate (Full-time), public 2-yrs (3 yr rolling avg)]],RawData[Retention rate (Full-time), public 2-yrs (3 yr rolling avg)],1),"")</f>
        <v>37</v>
      </c>
      <c r="H26">
        <f>IF(COUNTBLANK(RawData[[#This Row],[Retention rate (Part-time), public 2-yrs (3 yr rolling avg)]])=0,_xlfn.RANK.AVG(RawData[[#This Row],[Retention rate (Part-time), public 2-yrs (3 yr rolling avg)]],RawData[Retention rate (Part-time), public 2-yrs (3 yr rolling avg)],1),"")</f>
        <v>10</v>
      </c>
      <c r="I26" s="31"/>
      <c r="J26">
        <f t="shared" si="2"/>
        <v>23</v>
      </c>
      <c r="K26">
        <f t="shared" si="3"/>
        <v>24</v>
      </c>
      <c r="L26" s="31"/>
      <c r="M26">
        <f t="shared" si="4"/>
        <v>23.5</v>
      </c>
      <c r="N26">
        <f t="shared" si="5"/>
        <v>27</v>
      </c>
      <c r="O26" s="31"/>
      <c r="P26">
        <f>IF(A26='State Detail'!BM$7,1,0)</f>
        <v>0</v>
      </c>
      <c r="Q26" s="24" t="e">
        <f t="shared" si="0"/>
        <v>#N/A</v>
      </c>
      <c r="R26" s="24" t="e">
        <f t="shared" si="1"/>
        <v>#N/A</v>
      </c>
      <c r="S26" s="31"/>
      <c r="T26">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4</v>
      </c>
      <c r="U26">
        <f>IF(COUNTBLANK(RawData[[#This Row],[3 Year Average Grad Rate, 150% of normal time, 4 year publics]])=0,_xlfn.RANK.AVG(RawData[[#This Row],[3 Year Average Grad Rate, 150% of normal time, 4 year publics]],RawData[3 Year Average Grad Rate, 150% of normal time, 4 year publics],1),"")</f>
        <v>19</v>
      </c>
      <c r="V26">
        <f>IF(COUNTBLANK(RawData[[#This Row],[3 Year Average full-time retention rate, 4 year publics]])=0,_xlfn.RANK.AVG(RawData[[#This Row],[3 Year Average full-time retention rate, 4 year publics]],RawData[3 Year Average full-time retention rate, 4 year publics],1),"")</f>
        <v>20</v>
      </c>
      <c r="W26">
        <f>IF(COUNTBLANK(RawData[[#This Row],[3 Year Average part-time retention rate, 4 year publics]])=0,_xlfn.RANK.AVG(RawData[[#This Row],[3 Year Average part-time retention rate, 4 year publics]],RawData[3 Year Average part-time retention rate, 4 year publics],1),"")</f>
        <v>25</v>
      </c>
    </row>
    <row r="27" spans="1:23" x14ac:dyDescent="0.35">
      <c r="A27" s="29" t="s">
        <v>116</v>
      </c>
      <c r="B27" s="30" t="s">
        <v>117</v>
      </c>
      <c r="C27" s="30">
        <f>IF(COUNTBLANK(RawData[[#This Row],[FTE undergrad enrollment at public 2-yrs, 2019]])=0,_xlfn.RANK.AVG(RawData[[#This Row],[FTE undergrad enrollment at public 2-yrs, 2019]],RawData[FTE undergrad enrollment at public 2-yrs, 2019],0),"")</f>
        <v>48</v>
      </c>
      <c r="D27" s="30">
        <f>IF(COUNTBLANK(RawData[[#This Row],[FTE undergrad enrollment at public 2-yrs, 2023]])=0,_xlfn.RANK.AVG(RawData[[#This Row],[FTE undergrad enrollment at public 2-yrs, 2023]],RawData[FTE undergrad enrollment at public 2-yrs, 2023],0),"")</f>
        <v>49</v>
      </c>
      <c r="E27">
        <f>IF(COUNTBLANK(RawData[[#This Row],[FTE undergrad enrollment change at public 2-yrs (%), 2019 to 2023]])=0,_xlfn.RANK.AVG(RawData[[#This Row],[FTE undergrad enrollment change at public 2-yrs (%), 2019 to 2023]],RawData[FTE undergrad enrollment change at public 2-yrs (%), 2019 to 2023],1),"")</f>
        <v>42</v>
      </c>
      <c r="F27">
        <f>IF(COUNTBLANK(RawData[[#This Row],[3-year Graduation rate, public 2-yrs (3 yr rolling avg)]])=0,_xlfn.RANK.AVG(RawData[[#This Row],[3-year Graduation rate, public 2-yrs (3 yr rolling avg)]],RawData[3-year Graduation rate, public 2-yrs (3 yr rolling avg)],1),"")</f>
        <v>28</v>
      </c>
      <c r="G27">
        <f>IF(COUNTBLANK(RawData[[#This Row],[Retention rate (Full-time), public 2-yrs (3 yr rolling avg)]])=0,_xlfn.RANK.AVG(RawData[[#This Row],[Retention rate (Full-time), public 2-yrs (3 yr rolling avg)]],RawData[Retention rate (Full-time), public 2-yrs (3 yr rolling avg)],1),"")</f>
        <v>9</v>
      </c>
      <c r="H27">
        <f>IF(COUNTBLANK(RawData[[#This Row],[Retention rate (Part-time), public 2-yrs (3 yr rolling avg)]])=0,_xlfn.RANK.AVG(RawData[[#This Row],[Retention rate (Part-time), public 2-yrs (3 yr rolling avg)]],RawData[Retention rate (Part-time), public 2-yrs (3 yr rolling avg)],1),"")</f>
        <v>19</v>
      </c>
      <c r="I27" s="31"/>
      <c r="J27">
        <f t="shared" si="2"/>
        <v>8</v>
      </c>
      <c r="K27">
        <f t="shared" si="3"/>
        <v>31.333333333333332</v>
      </c>
      <c r="L27" s="31"/>
      <c r="M27">
        <f t="shared" si="4"/>
        <v>19.666666666666664</v>
      </c>
      <c r="N27">
        <f t="shared" si="5"/>
        <v>36</v>
      </c>
      <c r="O27" s="31"/>
      <c r="P27">
        <f>IF(A27='State Detail'!BM$7,1,0)</f>
        <v>0</v>
      </c>
      <c r="Q27" s="24" t="e">
        <f t="shared" si="0"/>
        <v>#N/A</v>
      </c>
      <c r="R27" s="24" t="e">
        <f t="shared" si="1"/>
        <v>#N/A</v>
      </c>
      <c r="S27" s="31"/>
      <c r="T27">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22.5</v>
      </c>
      <c r="U27">
        <f>IF(COUNTBLANK(RawData[[#This Row],[3 Year Average Grad Rate, 150% of normal time, 4 year publics]])=0,_xlfn.RANK.AVG(RawData[[#This Row],[3 Year Average Grad Rate, 150% of normal time, 4 year publics]],RawData[3 Year Average Grad Rate, 150% of normal time, 4 year publics],1),"")</f>
        <v>4</v>
      </c>
      <c r="V27">
        <f>IF(COUNTBLANK(RawData[[#This Row],[3 Year Average full-time retention rate, 4 year publics]])=0,_xlfn.RANK.AVG(RawData[[#This Row],[3 Year Average full-time retention rate, 4 year publics]],RawData[3 Year Average full-time retention rate, 4 year publics],1),"")</f>
        <v>5</v>
      </c>
      <c r="W27">
        <f>IF(COUNTBLANK(RawData[[#This Row],[3 Year Average part-time retention rate, 4 year publics]])=0,_xlfn.RANK.AVG(RawData[[#This Row],[3 Year Average part-time retention rate, 4 year publics]],RawData[3 Year Average part-time retention rate, 4 year publics],1),"")</f>
        <v>36</v>
      </c>
    </row>
    <row r="28" spans="1:23" x14ac:dyDescent="0.35">
      <c r="A28" s="29" t="s">
        <v>119</v>
      </c>
      <c r="B28" s="30" t="s">
        <v>120</v>
      </c>
      <c r="C28" s="30">
        <f>IF(COUNTBLANK(RawData[[#This Row],[FTE undergrad enrollment at public 2-yrs, 2019]])=0,_xlfn.RANK.AVG(RawData[[#This Row],[FTE undergrad enrollment at public 2-yrs, 2019]],RawData[FTE undergrad enrollment at public 2-yrs, 2019],0),"")</f>
        <v>36</v>
      </c>
      <c r="D28" s="30">
        <f>IF(COUNTBLANK(RawData[[#This Row],[FTE undergrad enrollment at public 2-yrs, 2023]])=0,_xlfn.RANK.AVG(RawData[[#This Row],[FTE undergrad enrollment at public 2-yrs, 2023]],RawData[FTE undergrad enrollment at public 2-yrs, 2023],0),"")</f>
        <v>35</v>
      </c>
      <c r="E28">
        <f>IF(COUNTBLANK(RawData[[#This Row],[FTE undergrad enrollment change at public 2-yrs (%), 2019 to 2023]])=0,_xlfn.RANK.AVG(RawData[[#This Row],[FTE undergrad enrollment change at public 2-yrs (%), 2019 to 2023]],RawData[FTE undergrad enrollment change at public 2-yrs (%), 2019 to 2023],1),"")</f>
        <v>33</v>
      </c>
      <c r="F28">
        <f>IF(COUNTBLANK(RawData[[#This Row],[3-year Graduation rate, public 2-yrs (3 yr rolling avg)]])=0,_xlfn.RANK.AVG(RawData[[#This Row],[3-year Graduation rate, public 2-yrs (3 yr rolling avg)]],RawData[3-year Graduation rate, public 2-yrs (3 yr rolling avg)],1),"")</f>
        <v>40</v>
      </c>
      <c r="G28">
        <f>IF(COUNTBLANK(RawData[[#This Row],[Retention rate (Full-time), public 2-yrs (3 yr rolling avg)]])=0,_xlfn.RANK.AVG(RawData[[#This Row],[Retention rate (Full-time), public 2-yrs (3 yr rolling avg)]],RawData[Retention rate (Full-time), public 2-yrs (3 yr rolling avg)],1),"")</f>
        <v>40</v>
      </c>
      <c r="H28">
        <f>IF(COUNTBLANK(RawData[[#This Row],[Retention rate (Part-time), public 2-yrs (3 yr rolling avg)]])=0,_xlfn.RANK.AVG(RawData[[#This Row],[Retention rate (Part-time), public 2-yrs (3 yr rolling avg)]],RawData[Retention rate (Part-time), public 2-yrs (3 yr rolling avg)],1),"")</f>
        <v>25</v>
      </c>
      <c r="I28" s="31"/>
      <c r="J28">
        <f t="shared" si="2"/>
        <v>17</v>
      </c>
      <c r="K28">
        <f t="shared" si="3"/>
        <v>15</v>
      </c>
      <c r="L28" s="31"/>
      <c r="M28">
        <f t="shared" si="4"/>
        <v>16</v>
      </c>
      <c r="N28">
        <f t="shared" si="5"/>
        <v>43</v>
      </c>
      <c r="O28" s="31"/>
      <c r="P28">
        <f>IF(A28='State Detail'!BM$7,1,0)</f>
        <v>0</v>
      </c>
      <c r="Q28" s="24" t="e">
        <f t="shared" si="0"/>
        <v>#N/A</v>
      </c>
      <c r="R28" s="24" t="e">
        <f t="shared" si="1"/>
        <v>#N/A</v>
      </c>
      <c r="S28" s="31"/>
      <c r="T28">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36</v>
      </c>
      <c r="U28">
        <f>IF(COUNTBLANK(RawData[[#This Row],[3 Year Average Grad Rate, 150% of normal time, 4 year publics]])=0,_xlfn.RANK.AVG(RawData[[#This Row],[3 Year Average Grad Rate, 150% of normal time, 4 year publics]],RawData[3 Year Average Grad Rate, 150% of normal time, 4 year publics],1),"")</f>
        <v>17</v>
      </c>
      <c r="V28">
        <f>IF(COUNTBLANK(RawData[[#This Row],[3 Year Average full-time retention rate, 4 year publics]])=0,_xlfn.RANK.AVG(RawData[[#This Row],[3 Year Average full-time retention rate, 4 year publics]],RawData[3 Year Average full-time retention rate, 4 year publics],1),"")</f>
        <v>17</v>
      </c>
      <c r="W28">
        <f>IF(COUNTBLANK(RawData[[#This Row],[3 Year Average part-time retention rate, 4 year publics]])=0,_xlfn.RANK.AVG(RawData[[#This Row],[3 Year Average part-time retention rate, 4 year publics]],RawData[3 Year Average part-time retention rate, 4 year publics],1),"")</f>
        <v>17</v>
      </c>
    </row>
    <row r="29" spans="1:23" x14ac:dyDescent="0.35">
      <c r="A29" s="29" t="s">
        <v>121</v>
      </c>
      <c r="B29" s="30" t="s">
        <v>122</v>
      </c>
      <c r="C29" s="30">
        <f>IF(COUNTBLANK(RawData[[#This Row],[FTE undergrad enrollment at public 2-yrs, 2019]])=0,_xlfn.RANK.AVG(RawData[[#This Row],[FTE undergrad enrollment at public 2-yrs, 2019]],RawData[FTE undergrad enrollment at public 2-yrs, 2019],0),"")</f>
        <v>33</v>
      </c>
      <c r="D29" s="30">
        <f>IF(COUNTBLANK(RawData[[#This Row],[FTE undergrad enrollment at public 2-yrs, 2023]])=0,_xlfn.RANK.AVG(RawData[[#This Row],[FTE undergrad enrollment at public 2-yrs, 2023]],RawData[FTE undergrad enrollment at public 2-yrs, 2023],0),"")</f>
        <v>33</v>
      </c>
      <c r="E29">
        <f>IF(COUNTBLANK(RawData[[#This Row],[FTE undergrad enrollment change at public 2-yrs (%), 2019 to 2023]])=0,_xlfn.RANK.AVG(RawData[[#This Row],[FTE undergrad enrollment change at public 2-yrs (%), 2019 to 2023]],RawData[FTE undergrad enrollment change at public 2-yrs (%), 2019 to 2023],1),"")</f>
        <v>28</v>
      </c>
      <c r="F29">
        <f>IF(COUNTBLANK(RawData[[#This Row],[3-year Graduation rate, public 2-yrs (3 yr rolling avg)]])=0,_xlfn.RANK.AVG(RawData[[#This Row],[3-year Graduation rate, public 2-yrs (3 yr rolling avg)]],RawData[3-year Graduation rate, public 2-yrs (3 yr rolling avg)],1),"")</f>
        <v>6</v>
      </c>
      <c r="G29">
        <f>IF(COUNTBLANK(RawData[[#This Row],[Retention rate (Full-time), public 2-yrs (3 yr rolling avg)]])=0,_xlfn.RANK.AVG(RawData[[#This Row],[Retention rate (Full-time), public 2-yrs (3 yr rolling avg)]],RawData[Retention rate (Full-time), public 2-yrs (3 yr rolling avg)],1),"")</f>
        <v>19</v>
      </c>
      <c r="H29">
        <f>IF(COUNTBLANK(RawData[[#This Row],[Retention rate (Part-time), public 2-yrs (3 yr rolling avg)]])=0,_xlfn.RANK.AVG(RawData[[#This Row],[Retention rate (Part-time), public 2-yrs (3 yr rolling avg)]],RawData[Retention rate (Part-time), public 2-yrs (3 yr rolling avg)],1),"")</f>
        <v>36</v>
      </c>
      <c r="I29" s="31"/>
      <c r="J29">
        <f t="shared" si="2"/>
        <v>22</v>
      </c>
      <c r="K29">
        <f t="shared" si="3"/>
        <v>29.666666666666668</v>
      </c>
      <c r="L29" s="31"/>
      <c r="M29">
        <f t="shared" si="4"/>
        <v>25.833333333333336</v>
      </c>
      <c r="N29">
        <f t="shared" si="5"/>
        <v>21</v>
      </c>
      <c r="O29" s="31"/>
      <c r="P29">
        <f>IF(A29='State Detail'!BM$7,1,0)</f>
        <v>0</v>
      </c>
      <c r="Q29" s="24" t="e">
        <f t="shared" si="0"/>
        <v>#N/A</v>
      </c>
      <c r="R29" s="24" t="e">
        <f t="shared" si="1"/>
        <v>#N/A</v>
      </c>
      <c r="S29" s="31"/>
      <c r="T29">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39.5</v>
      </c>
      <c r="U29">
        <f>IF(COUNTBLANK(RawData[[#This Row],[3 Year Average Grad Rate, 150% of normal time, 4 year publics]])=0,_xlfn.RANK.AVG(RawData[[#This Row],[3 Year Average Grad Rate, 150% of normal time, 4 year publics]],RawData[3 Year Average Grad Rate, 150% of normal time, 4 year publics],1),"")</f>
        <v>7</v>
      </c>
      <c r="V29">
        <f>IF(COUNTBLANK(RawData[[#This Row],[3 Year Average full-time retention rate, 4 year publics]])=0,_xlfn.RANK.AVG(RawData[[#This Row],[3 Year Average full-time retention rate, 4 year publics]],RawData[3 Year Average full-time retention rate, 4 year publics],1),"")</f>
        <v>19</v>
      </c>
      <c r="W29">
        <f>IF(COUNTBLANK(RawData[[#This Row],[3 Year Average part-time retention rate, 4 year publics]])=0,_xlfn.RANK.AVG(RawData[[#This Row],[3 Year Average part-time retention rate, 4 year publics]],RawData[3 Year Average part-time retention rate, 4 year publics],1),"")</f>
        <v>11</v>
      </c>
    </row>
    <row r="30" spans="1:23" x14ac:dyDescent="0.35">
      <c r="A30" s="29" t="s">
        <v>123</v>
      </c>
      <c r="B30" s="30" t="s">
        <v>124</v>
      </c>
      <c r="C30" s="30">
        <f>IF(COUNTBLANK(RawData[[#This Row],[FTE undergrad enrollment at public 2-yrs, 2019]])=0,_xlfn.RANK.AVG(RawData[[#This Row],[FTE undergrad enrollment at public 2-yrs, 2019]],RawData[FTE undergrad enrollment at public 2-yrs, 2019],0),"")</f>
        <v>44</v>
      </c>
      <c r="D30" s="30">
        <f>IF(COUNTBLANK(RawData[[#This Row],[FTE undergrad enrollment at public 2-yrs, 2023]])=0,_xlfn.RANK.AVG(RawData[[#This Row],[FTE undergrad enrollment at public 2-yrs, 2023]],RawData[FTE undergrad enrollment at public 2-yrs, 2023],0),"")</f>
        <v>45</v>
      </c>
      <c r="E30">
        <f>IF(COUNTBLANK(RawData[[#This Row],[FTE undergrad enrollment change at public 2-yrs (%), 2019 to 2023]])=0,_xlfn.RANK.AVG(RawData[[#This Row],[FTE undergrad enrollment change at public 2-yrs (%), 2019 to 2023]],RawData[FTE undergrad enrollment change at public 2-yrs (%), 2019 to 2023],1),"")</f>
        <v>8</v>
      </c>
      <c r="F30">
        <f>IF(COUNTBLANK(RawData[[#This Row],[3-year Graduation rate, public 2-yrs (3 yr rolling avg)]])=0,_xlfn.RANK.AVG(RawData[[#This Row],[3-year Graduation rate, public 2-yrs (3 yr rolling avg)]],RawData[3-year Graduation rate, public 2-yrs (3 yr rolling avg)],1),"")</f>
        <v>32</v>
      </c>
      <c r="G30">
        <f>IF(COUNTBLANK(RawData[[#This Row],[Retention rate (Full-time), public 2-yrs (3 yr rolling avg)]])=0,_xlfn.RANK.AVG(RawData[[#This Row],[Retention rate (Full-time), public 2-yrs (3 yr rolling avg)]],RawData[Retention rate (Full-time), public 2-yrs (3 yr rolling avg)],1),"")</f>
        <v>24</v>
      </c>
      <c r="H30">
        <f>IF(COUNTBLANK(RawData[[#This Row],[Retention rate (Part-time), public 2-yrs (3 yr rolling avg)]])=0,_xlfn.RANK.AVG(RawData[[#This Row],[Retention rate (Part-time), public 2-yrs (3 yr rolling avg)]],RawData[Retention rate (Part-time), public 2-yrs (3 yr rolling avg)],1),"")</f>
        <v>39</v>
      </c>
      <c r="I30" s="31"/>
      <c r="J30">
        <f t="shared" si="2"/>
        <v>42</v>
      </c>
      <c r="K30">
        <f t="shared" si="3"/>
        <v>18.333333333333332</v>
      </c>
      <c r="L30" s="31"/>
      <c r="M30">
        <f t="shared" si="4"/>
        <v>30.166666666666664</v>
      </c>
      <c r="N30">
        <f t="shared" si="5"/>
        <v>13</v>
      </c>
      <c r="O30" s="31"/>
      <c r="P30">
        <f>IF(A30='State Detail'!BM$7,1,0)</f>
        <v>0</v>
      </c>
      <c r="Q30" s="24" t="e">
        <f t="shared" si="0"/>
        <v>#N/A</v>
      </c>
      <c r="R30" s="24" t="e">
        <f t="shared" si="1"/>
        <v>#N/A</v>
      </c>
      <c r="S30" s="31"/>
      <c r="T30">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2.5</v>
      </c>
      <c r="U30">
        <f>IF(COUNTBLANK(RawData[[#This Row],[3 Year Average Grad Rate, 150% of normal time, 4 year publics]])=0,_xlfn.RANK.AVG(RawData[[#This Row],[3 Year Average Grad Rate, 150% of normal time, 4 year publics]],RawData[3 Year Average Grad Rate, 150% of normal time, 4 year publics],1),"")</f>
        <v>40</v>
      </c>
      <c r="V30">
        <f>IF(COUNTBLANK(RawData[[#This Row],[3 Year Average full-time retention rate, 4 year publics]])=0,_xlfn.RANK.AVG(RawData[[#This Row],[3 Year Average full-time retention rate, 4 year publics]],RawData[3 Year Average full-time retention rate, 4 year publics],1),"")</f>
        <v>22</v>
      </c>
      <c r="W30">
        <f>IF(COUNTBLANK(RawData[[#This Row],[3 Year Average part-time retention rate, 4 year publics]])=0,_xlfn.RANK.AVG(RawData[[#This Row],[3 Year Average part-time retention rate, 4 year publics]],RawData[3 Year Average part-time retention rate, 4 year publics],1),"")</f>
        <v>41</v>
      </c>
    </row>
    <row r="31" spans="1:23" x14ac:dyDescent="0.35">
      <c r="A31" s="29" t="s">
        <v>125</v>
      </c>
      <c r="B31" s="30" t="s">
        <v>126</v>
      </c>
      <c r="C31" s="30">
        <f>IF(COUNTBLANK(RawData[[#This Row],[FTE undergrad enrollment at public 2-yrs, 2019]])=0,_xlfn.RANK.AVG(RawData[[#This Row],[FTE undergrad enrollment at public 2-yrs, 2019]],RawData[FTE undergrad enrollment at public 2-yrs, 2019],0),"")</f>
        <v>13</v>
      </c>
      <c r="D31" s="30">
        <f>IF(COUNTBLANK(RawData[[#This Row],[FTE undergrad enrollment at public 2-yrs, 2023]])=0,_xlfn.RANK.AVG(RawData[[#This Row],[FTE undergrad enrollment at public 2-yrs, 2023]],RawData[FTE undergrad enrollment at public 2-yrs, 2023],0),"")</f>
        <v>13</v>
      </c>
      <c r="E31">
        <f>IF(COUNTBLANK(RawData[[#This Row],[FTE undergrad enrollment change at public 2-yrs (%), 2019 to 2023]])=0,_xlfn.RANK.AVG(RawData[[#This Row],[FTE undergrad enrollment change at public 2-yrs (%), 2019 to 2023]],RawData[FTE undergrad enrollment change at public 2-yrs (%), 2019 to 2023],1),"")</f>
        <v>16</v>
      </c>
      <c r="F31">
        <f>IF(COUNTBLANK(RawData[[#This Row],[3-year Graduation rate, public 2-yrs (3 yr rolling avg)]])=0,_xlfn.RANK.AVG(RawData[[#This Row],[3-year Graduation rate, public 2-yrs (3 yr rolling avg)]],RawData[3-year Graduation rate, public 2-yrs (3 yr rolling avg)],1),"")</f>
        <v>21</v>
      </c>
      <c r="G31">
        <f>IF(COUNTBLANK(RawData[[#This Row],[Retention rate (Full-time), public 2-yrs (3 yr rolling avg)]])=0,_xlfn.RANK.AVG(RawData[[#This Row],[Retention rate (Full-time), public 2-yrs (3 yr rolling avg)]],RawData[Retention rate (Full-time), public 2-yrs (3 yr rolling avg)],1),"")</f>
        <v>45</v>
      </c>
      <c r="H31">
        <f>IF(COUNTBLANK(RawData[[#This Row],[Retention rate (Part-time), public 2-yrs (3 yr rolling avg)]])=0,_xlfn.RANK.AVG(RawData[[#This Row],[Retention rate (Part-time), public 2-yrs (3 yr rolling avg)]],RawData[Retention rate (Part-time), public 2-yrs (3 yr rolling avg)],1),"")</f>
        <v>43</v>
      </c>
      <c r="I31" s="31"/>
      <c r="J31">
        <f t="shared" si="2"/>
        <v>34</v>
      </c>
      <c r="K31">
        <f t="shared" si="3"/>
        <v>13.666666666666664</v>
      </c>
      <c r="L31" s="31"/>
      <c r="M31">
        <f t="shared" si="4"/>
        <v>23.833333333333332</v>
      </c>
      <c r="N31">
        <f t="shared" si="5"/>
        <v>26</v>
      </c>
      <c r="O31" s="31"/>
      <c r="P31">
        <f>IF(A31='State Detail'!BM$7,1,0)</f>
        <v>0</v>
      </c>
      <c r="Q31" s="24" t="e">
        <f t="shared" si="0"/>
        <v>#N/A</v>
      </c>
      <c r="R31" s="24" t="e">
        <f t="shared" si="1"/>
        <v>#N/A</v>
      </c>
      <c r="S31" s="31"/>
      <c r="T31">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28</v>
      </c>
      <c r="U31">
        <f>IF(COUNTBLANK(RawData[[#This Row],[3 Year Average Grad Rate, 150% of normal time, 4 year publics]])=0,_xlfn.RANK.AVG(RawData[[#This Row],[3 Year Average Grad Rate, 150% of normal time, 4 year publics]],RawData[3 Year Average Grad Rate, 150% of normal time, 4 year publics],1),"")</f>
        <v>45</v>
      </c>
      <c r="V31">
        <f>IF(COUNTBLANK(RawData[[#This Row],[3 Year Average full-time retention rate, 4 year publics]])=0,_xlfn.RANK.AVG(RawData[[#This Row],[3 Year Average full-time retention rate, 4 year publics]],RawData[3 Year Average full-time retention rate, 4 year publics],1),"")</f>
        <v>44.5</v>
      </c>
      <c r="W31">
        <f>IF(COUNTBLANK(RawData[[#This Row],[3 Year Average part-time retention rate, 4 year publics]])=0,_xlfn.RANK.AVG(RawData[[#This Row],[3 Year Average part-time retention rate, 4 year publics]],RawData[3 Year Average part-time retention rate, 4 year publics],1),"")</f>
        <v>44</v>
      </c>
    </row>
    <row r="32" spans="1:23" x14ac:dyDescent="0.35">
      <c r="A32" s="29" t="s">
        <v>128</v>
      </c>
      <c r="B32" s="30" t="s">
        <v>129</v>
      </c>
      <c r="C32" s="30">
        <f>IF(COUNTBLANK(RawData[[#This Row],[FTE undergrad enrollment at public 2-yrs, 2019]])=0,_xlfn.RANK.AVG(RawData[[#This Row],[FTE undergrad enrollment at public 2-yrs, 2019]],RawData[FTE undergrad enrollment at public 2-yrs, 2019],0),"")</f>
        <v>32</v>
      </c>
      <c r="D32" s="30">
        <f>IF(COUNTBLANK(RawData[[#This Row],[FTE undergrad enrollment at public 2-yrs, 2023]])=0,_xlfn.RANK.AVG(RawData[[#This Row],[FTE undergrad enrollment at public 2-yrs, 2023]],RawData[FTE undergrad enrollment at public 2-yrs, 2023],0),"")</f>
        <v>32</v>
      </c>
      <c r="E32">
        <f>IF(COUNTBLANK(RawData[[#This Row],[FTE undergrad enrollment change at public 2-yrs (%), 2019 to 2023]])=0,_xlfn.RANK.AVG(RawData[[#This Row],[FTE undergrad enrollment change at public 2-yrs (%), 2019 to 2023]],RawData[FTE undergrad enrollment change at public 2-yrs (%), 2019 to 2023],1),"")</f>
        <v>11</v>
      </c>
      <c r="F32">
        <f>IF(COUNTBLANK(RawData[[#This Row],[3-year Graduation rate, public 2-yrs (3 yr rolling avg)]])=0,_xlfn.RANK.AVG(RawData[[#This Row],[3-year Graduation rate, public 2-yrs (3 yr rolling avg)]],RawData[3-year Graduation rate, public 2-yrs (3 yr rolling avg)],1),"")</f>
        <v>16</v>
      </c>
      <c r="G32">
        <f>IF(COUNTBLANK(RawData[[#This Row],[Retention rate (Full-time), public 2-yrs (3 yr rolling avg)]])=0,_xlfn.RANK.AVG(RawData[[#This Row],[Retention rate (Full-time), public 2-yrs (3 yr rolling avg)]],RawData[Retention rate (Full-time), public 2-yrs (3 yr rolling avg)],1),"")</f>
        <v>22</v>
      </c>
      <c r="H32">
        <f>IF(COUNTBLANK(RawData[[#This Row],[Retention rate (Part-time), public 2-yrs (3 yr rolling avg)]])=0,_xlfn.RANK.AVG(RawData[[#This Row],[Retention rate (Part-time), public 2-yrs (3 yr rolling avg)]],RawData[Retention rate (Part-time), public 2-yrs (3 yr rolling avg)],1),"")</f>
        <v>12</v>
      </c>
      <c r="I32" s="31"/>
      <c r="J32">
        <f t="shared" si="2"/>
        <v>39</v>
      </c>
      <c r="K32">
        <f t="shared" si="3"/>
        <v>33.333333333333329</v>
      </c>
      <c r="L32" s="31"/>
      <c r="M32">
        <f t="shared" si="4"/>
        <v>36.166666666666664</v>
      </c>
      <c r="N32">
        <f t="shared" si="5"/>
        <v>8</v>
      </c>
      <c r="O32" s="31"/>
      <c r="P32">
        <f>IF(A32='State Detail'!BM$7,1,0)</f>
        <v>0</v>
      </c>
      <c r="Q32" s="24" t="e">
        <f t="shared" si="0"/>
        <v>#N/A</v>
      </c>
      <c r="R32" s="24" t="e">
        <f t="shared" si="1"/>
        <v>#N/A</v>
      </c>
      <c r="S32" s="31"/>
      <c r="T32">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25.5</v>
      </c>
      <c r="U32">
        <f>IF(COUNTBLANK(RawData[[#This Row],[3 Year Average Grad Rate, 150% of normal time, 4 year publics]])=0,_xlfn.RANK.AVG(RawData[[#This Row],[3 Year Average Grad Rate, 150% of normal time, 4 year publics]],RawData[3 Year Average Grad Rate, 150% of normal time, 4 year publics],1),"")</f>
        <v>2</v>
      </c>
      <c r="V32">
        <f>IF(COUNTBLANK(RawData[[#This Row],[3 Year Average full-time retention rate, 4 year publics]])=0,_xlfn.RANK.AVG(RawData[[#This Row],[3 Year Average full-time retention rate, 4 year publics]],RawData[3 Year Average full-time retention rate, 4 year publics],1),"")</f>
        <v>2</v>
      </c>
      <c r="W32">
        <f>IF(COUNTBLANK(RawData[[#This Row],[3 Year Average part-time retention rate, 4 year publics]])=0,_xlfn.RANK.AVG(RawData[[#This Row],[3 Year Average part-time retention rate, 4 year publics]],RawData[3 Year Average part-time retention rate, 4 year publics],1),"")</f>
        <v>10</v>
      </c>
    </row>
    <row r="33" spans="1:23" x14ac:dyDescent="0.35">
      <c r="A33" s="29" t="s">
        <v>130</v>
      </c>
      <c r="B33" s="30" t="s">
        <v>131</v>
      </c>
      <c r="C33" s="30">
        <f>IF(COUNTBLANK(RawData[[#This Row],[FTE undergrad enrollment at public 2-yrs, 2019]])=0,_xlfn.RANK.AVG(RawData[[#This Row],[FTE undergrad enrollment at public 2-yrs, 2019]],RawData[FTE undergrad enrollment at public 2-yrs, 2019],0),"")</f>
        <v>4</v>
      </c>
      <c r="D33" s="30">
        <f>IF(COUNTBLANK(RawData[[#This Row],[FTE undergrad enrollment at public 2-yrs, 2023]])=0,_xlfn.RANK.AVG(RawData[[#This Row],[FTE undergrad enrollment at public 2-yrs, 2023]],RawData[FTE undergrad enrollment at public 2-yrs, 2023],0),"")</f>
        <v>6</v>
      </c>
      <c r="E33">
        <f>IF(COUNTBLANK(RawData[[#This Row],[FTE undergrad enrollment change at public 2-yrs (%), 2019 to 2023]])=0,_xlfn.RANK.AVG(RawData[[#This Row],[FTE undergrad enrollment change at public 2-yrs (%), 2019 to 2023]],RawData[FTE undergrad enrollment change at public 2-yrs (%), 2019 to 2023],1),"")</f>
        <v>2</v>
      </c>
      <c r="F33">
        <f>IF(COUNTBLANK(RawData[[#This Row],[3-year Graduation rate, public 2-yrs (3 yr rolling avg)]])=0,_xlfn.RANK.AVG(RawData[[#This Row],[3-year Graduation rate, public 2-yrs (3 yr rolling avg)]],RawData[3-year Graduation rate, public 2-yrs (3 yr rolling avg)],1),"")</f>
        <v>17</v>
      </c>
      <c r="G33">
        <f>IF(COUNTBLANK(RawData[[#This Row],[Retention rate (Full-time), public 2-yrs (3 yr rolling avg)]])=0,_xlfn.RANK.AVG(RawData[[#This Row],[Retention rate (Full-time), public 2-yrs (3 yr rolling avg)]],RawData[Retention rate (Full-time), public 2-yrs (3 yr rolling avg)],1),"")</f>
        <v>20</v>
      </c>
      <c r="H33">
        <f>IF(COUNTBLANK(RawData[[#This Row],[Retention rate (Part-time), public 2-yrs (3 yr rolling avg)]])=0,_xlfn.RANK.AVG(RawData[[#This Row],[Retention rate (Part-time), public 2-yrs (3 yr rolling avg)]],RawData[Retention rate (Part-time), public 2-yrs (3 yr rolling avg)],1),"")</f>
        <v>15</v>
      </c>
      <c r="I33" s="31"/>
      <c r="J33">
        <f t="shared" si="2"/>
        <v>48</v>
      </c>
      <c r="K33">
        <f t="shared" si="3"/>
        <v>32.666666666666671</v>
      </c>
      <c r="L33" s="31"/>
      <c r="M33">
        <f t="shared" si="4"/>
        <v>40.333333333333336</v>
      </c>
      <c r="N33">
        <f t="shared" si="5"/>
        <v>5</v>
      </c>
      <c r="O33" s="31"/>
      <c r="P33">
        <f>IF(A33='State Detail'!BM$7,1,0)</f>
        <v>0</v>
      </c>
      <c r="Q33" s="24" t="e">
        <f t="shared" si="0"/>
        <v>#N/A</v>
      </c>
      <c r="R33" s="24" t="e">
        <f t="shared" si="1"/>
        <v>#N/A</v>
      </c>
      <c r="S33" s="31"/>
      <c r="T33">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11.5</v>
      </c>
      <c r="U33">
        <f>IF(COUNTBLANK(RawData[[#This Row],[3 Year Average Grad Rate, 150% of normal time, 4 year publics]])=0,_xlfn.RANK.AVG(RawData[[#This Row],[3 Year Average Grad Rate, 150% of normal time, 4 year publics]],RawData[3 Year Average Grad Rate, 150% of normal time, 4 year publics],1),"")</f>
        <v>31</v>
      </c>
      <c r="V33">
        <f>IF(COUNTBLANK(RawData[[#This Row],[3 Year Average full-time retention rate, 4 year publics]])=0,_xlfn.RANK.AVG(RawData[[#This Row],[3 Year Average full-time retention rate, 4 year publics]],RawData[3 Year Average full-time retention rate, 4 year publics],1),"")</f>
        <v>24</v>
      </c>
      <c r="W33">
        <f>IF(COUNTBLANK(RawData[[#This Row],[3 Year Average part-time retention rate, 4 year publics]])=0,_xlfn.RANK.AVG(RawData[[#This Row],[3 Year Average part-time retention rate, 4 year publics]],RawData[3 Year Average part-time retention rate, 4 year publics],1),"")</f>
        <v>38</v>
      </c>
    </row>
    <row r="34" spans="1:23" x14ac:dyDescent="0.35">
      <c r="A34" s="29" t="s">
        <v>134</v>
      </c>
      <c r="B34" s="30" t="s">
        <v>135</v>
      </c>
      <c r="C34" s="30">
        <f>IF(COUNTBLANK(RawData[[#This Row],[FTE undergrad enrollment at public 2-yrs, 2019]])=0,_xlfn.RANK.AVG(RawData[[#This Row],[FTE undergrad enrollment at public 2-yrs, 2019]],RawData[FTE undergrad enrollment at public 2-yrs, 2019],0),"")</f>
        <v>6</v>
      </c>
      <c r="D34" s="30">
        <f>IF(COUNTBLANK(RawData[[#This Row],[FTE undergrad enrollment at public 2-yrs, 2023]])=0,_xlfn.RANK.AVG(RawData[[#This Row],[FTE undergrad enrollment at public 2-yrs, 2023]],RawData[FTE undergrad enrollment at public 2-yrs, 2023],0),"")</f>
        <v>5</v>
      </c>
      <c r="E34">
        <f>IF(COUNTBLANK(RawData[[#This Row],[FTE undergrad enrollment change at public 2-yrs (%), 2019 to 2023]])=0,_xlfn.RANK.AVG(RawData[[#This Row],[FTE undergrad enrollment change at public 2-yrs (%), 2019 to 2023]],RawData[FTE undergrad enrollment change at public 2-yrs (%), 2019 to 2023],1),"")</f>
        <v>39</v>
      </c>
      <c r="F34">
        <f>IF(COUNTBLANK(RawData[[#This Row],[3-year Graduation rate, public 2-yrs (3 yr rolling avg)]])=0,_xlfn.RANK.AVG(RawData[[#This Row],[3-year Graduation rate, public 2-yrs (3 yr rolling avg)]],RawData[3-year Graduation rate, public 2-yrs (3 yr rolling avg)],1),"")</f>
        <v>30</v>
      </c>
      <c r="G34">
        <f>IF(COUNTBLANK(RawData[[#This Row],[Retention rate (Full-time), public 2-yrs (3 yr rolling avg)]])=0,_xlfn.RANK.AVG(RawData[[#This Row],[Retention rate (Full-time), public 2-yrs (3 yr rolling avg)]],RawData[Retention rate (Full-time), public 2-yrs (3 yr rolling avg)],1),"")</f>
        <v>26</v>
      </c>
      <c r="H34">
        <f>IF(COUNTBLANK(RawData[[#This Row],[Retention rate (Part-time), public 2-yrs (3 yr rolling avg)]])=0,_xlfn.RANK.AVG(RawData[[#This Row],[Retention rate (Part-time), public 2-yrs (3 yr rolling avg)]],RawData[Retention rate (Part-time), public 2-yrs (3 yr rolling avg)],1),"")</f>
        <v>34</v>
      </c>
      <c r="I34" s="31"/>
      <c r="J34">
        <f t="shared" si="2"/>
        <v>11</v>
      </c>
      <c r="K34">
        <f t="shared" si="3"/>
        <v>20</v>
      </c>
      <c r="L34" s="31"/>
      <c r="M34">
        <f t="shared" si="4"/>
        <v>15.5</v>
      </c>
      <c r="N34">
        <f t="shared" si="5"/>
        <v>44</v>
      </c>
      <c r="O34" s="31"/>
      <c r="P34">
        <f>IF(A34='State Detail'!BM$7,1,0)</f>
        <v>0</v>
      </c>
      <c r="Q34" s="24" t="e">
        <f t="shared" si="0"/>
        <v>#N/A</v>
      </c>
      <c r="R34" s="24" t="e">
        <f t="shared" si="1"/>
        <v>#N/A</v>
      </c>
      <c r="S34" s="31"/>
      <c r="T34">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34</v>
      </c>
      <c r="U34">
        <f>IF(COUNTBLANK(RawData[[#This Row],[3 Year Average Grad Rate, 150% of normal time, 4 year publics]])=0,_xlfn.RANK.AVG(RawData[[#This Row],[3 Year Average Grad Rate, 150% of normal time, 4 year publics]],RawData[3 Year Average Grad Rate, 150% of normal time, 4 year publics],1),"")</f>
        <v>41.5</v>
      </c>
      <c r="V34">
        <f>IF(COUNTBLANK(RawData[[#This Row],[3 Year Average full-time retention rate, 4 year publics]])=0,_xlfn.RANK.AVG(RawData[[#This Row],[3 Year Average full-time retention rate, 4 year publics]],RawData[3 Year Average full-time retention rate, 4 year publics],1),"")</f>
        <v>42</v>
      </c>
      <c r="W34">
        <f>IF(COUNTBLANK(RawData[[#This Row],[3 Year Average part-time retention rate, 4 year publics]])=0,_xlfn.RANK.AVG(RawData[[#This Row],[3 Year Average part-time retention rate, 4 year publics]],RawData[3 Year Average part-time retention rate, 4 year publics],1),"")</f>
        <v>42</v>
      </c>
    </row>
    <row r="35" spans="1:23" x14ac:dyDescent="0.35">
      <c r="A35" s="29" t="s">
        <v>137</v>
      </c>
      <c r="B35" s="30" t="s">
        <v>138</v>
      </c>
      <c r="C35" s="30">
        <f>IF(COUNTBLANK(RawData[[#This Row],[FTE undergrad enrollment at public 2-yrs, 2019]])=0,_xlfn.RANK.AVG(RawData[[#This Row],[FTE undergrad enrollment at public 2-yrs, 2019]],RawData[FTE undergrad enrollment at public 2-yrs, 2019],0),"")</f>
        <v>46</v>
      </c>
      <c r="D35" s="30">
        <f>IF(COUNTBLANK(RawData[[#This Row],[FTE undergrad enrollment at public 2-yrs, 2023]])=0,_xlfn.RANK.AVG(RawData[[#This Row],[FTE undergrad enrollment at public 2-yrs, 2023]],RawData[FTE undergrad enrollment at public 2-yrs, 2023],0),"")</f>
        <v>46</v>
      </c>
      <c r="E35">
        <f>IF(COUNTBLANK(RawData[[#This Row],[FTE undergrad enrollment change at public 2-yrs (%), 2019 to 2023]])=0,_xlfn.RANK.AVG(RawData[[#This Row],[FTE undergrad enrollment change at public 2-yrs (%), 2019 to 2023]],RawData[FTE undergrad enrollment change at public 2-yrs (%), 2019 to 2023],1),"")</f>
        <v>41</v>
      </c>
      <c r="F35">
        <f>IF(COUNTBLANK(RawData[[#This Row],[3-year Graduation rate, public 2-yrs (3 yr rolling avg)]])=0,_xlfn.RANK.AVG(RawData[[#This Row],[3-year Graduation rate, public 2-yrs (3 yr rolling avg)]],RawData[3-year Graduation rate, public 2-yrs (3 yr rolling avg)],1),"")</f>
        <v>48</v>
      </c>
      <c r="G35">
        <f>IF(COUNTBLANK(RawData[[#This Row],[Retention rate (Full-time), public 2-yrs (3 yr rolling avg)]])=0,_xlfn.RANK.AVG(RawData[[#This Row],[Retention rate (Full-time), public 2-yrs (3 yr rolling avg)]],RawData[Retention rate (Full-time), public 2-yrs (3 yr rolling avg)],1),"")</f>
        <v>42</v>
      </c>
      <c r="H35">
        <f>IF(COUNTBLANK(RawData[[#This Row],[Retention rate (Part-time), public 2-yrs (3 yr rolling avg)]])=0,_xlfn.RANK.AVG(RawData[[#This Row],[Retention rate (Part-time), public 2-yrs (3 yr rolling avg)]],RawData[Retention rate (Part-time), public 2-yrs (3 yr rolling avg)],1),"")</f>
        <v>6</v>
      </c>
      <c r="I35" s="31"/>
      <c r="J35">
        <f t="shared" si="2"/>
        <v>9</v>
      </c>
      <c r="K35">
        <f t="shared" si="3"/>
        <v>18</v>
      </c>
      <c r="L35" s="31"/>
      <c r="M35">
        <f t="shared" si="4"/>
        <v>13.5</v>
      </c>
      <c r="N35">
        <f t="shared" si="5"/>
        <v>46</v>
      </c>
      <c r="O35" s="31"/>
      <c r="P35">
        <f>IF(A35='State Detail'!BM$7,1,0)</f>
        <v>0</v>
      </c>
      <c r="Q35" s="24" t="e">
        <f t="shared" si="0"/>
        <v>#N/A</v>
      </c>
      <c r="R35" s="24" t="e">
        <f t="shared" si="1"/>
        <v>#N/A</v>
      </c>
      <c r="S35" s="31"/>
      <c r="T35">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11.5</v>
      </c>
      <c r="U35">
        <f>IF(COUNTBLANK(RawData[[#This Row],[3 Year Average Grad Rate, 150% of normal time, 4 year publics]])=0,_xlfn.RANK.AVG(RawData[[#This Row],[3 Year Average Grad Rate, 150% of normal time, 4 year publics]],RawData[3 Year Average Grad Rate, 150% of normal time, 4 year publics],1),"")</f>
        <v>22.5</v>
      </c>
      <c r="V35">
        <f>IF(COUNTBLANK(RawData[[#This Row],[3 Year Average full-time retention rate, 4 year publics]])=0,_xlfn.RANK.AVG(RawData[[#This Row],[3 Year Average full-time retention rate, 4 year publics]],RawData[3 Year Average full-time retention rate, 4 year publics],1),"")</f>
        <v>9</v>
      </c>
      <c r="W35">
        <f>IF(COUNTBLANK(RawData[[#This Row],[3 Year Average part-time retention rate, 4 year publics]])=0,_xlfn.RANK.AVG(RawData[[#This Row],[3 Year Average part-time retention rate, 4 year publics]],RawData[3 Year Average part-time retention rate, 4 year publics],1),"")</f>
        <v>28</v>
      </c>
    </row>
    <row r="36" spans="1:23" x14ac:dyDescent="0.35">
      <c r="A36" s="29" t="s">
        <v>139</v>
      </c>
      <c r="B36" s="30" t="s">
        <v>140</v>
      </c>
      <c r="C36" s="30">
        <f>IF(COUNTBLANK(RawData[[#This Row],[FTE undergrad enrollment at public 2-yrs, 2019]])=0,_xlfn.RANK.AVG(RawData[[#This Row],[FTE undergrad enrollment at public 2-yrs, 2019]],RawData[FTE undergrad enrollment at public 2-yrs, 2019],0),"")</f>
        <v>8</v>
      </c>
      <c r="D36" s="30">
        <f>IF(COUNTBLANK(RawData[[#This Row],[FTE undergrad enrollment at public 2-yrs, 2023]])=0,_xlfn.RANK.AVG(RawData[[#This Row],[FTE undergrad enrollment at public 2-yrs, 2023]],RawData[FTE undergrad enrollment at public 2-yrs, 2023],0),"")</f>
        <v>7</v>
      </c>
      <c r="E36">
        <f>IF(COUNTBLANK(RawData[[#This Row],[FTE undergrad enrollment change at public 2-yrs (%), 2019 to 2023]])=0,_xlfn.RANK.AVG(RawData[[#This Row],[FTE undergrad enrollment change at public 2-yrs (%), 2019 to 2023]],RawData[FTE undergrad enrollment change at public 2-yrs (%), 2019 to 2023],1),"")</f>
        <v>38</v>
      </c>
      <c r="F36">
        <f>IF(COUNTBLANK(RawData[[#This Row],[3-year Graduation rate, public 2-yrs (3 yr rolling avg)]])=0,_xlfn.RANK.AVG(RawData[[#This Row],[3-year Graduation rate, public 2-yrs (3 yr rolling avg)]],RawData[3-year Graduation rate, public 2-yrs (3 yr rolling avg)],1),"")</f>
        <v>11</v>
      </c>
      <c r="G36">
        <f>IF(COUNTBLANK(RawData[[#This Row],[Retention rate (Full-time), public 2-yrs (3 yr rolling avg)]])=0,_xlfn.RANK.AVG(RawData[[#This Row],[Retention rate (Full-time), public 2-yrs (3 yr rolling avg)]],RawData[Retention rate (Full-time), public 2-yrs (3 yr rolling avg)],1),"")</f>
        <v>3</v>
      </c>
      <c r="H36">
        <f>IF(COUNTBLANK(RawData[[#This Row],[Retention rate (Part-time), public 2-yrs (3 yr rolling avg)]])=0,_xlfn.RANK.AVG(RawData[[#This Row],[Retention rate (Part-time), public 2-yrs (3 yr rolling avg)]],RawData[Retention rate (Part-time), public 2-yrs (3 yr rolling avg)],1),"")</f>
        <v>31</v>
      </c>
      <c r="I36" s="31"/>
      <c r="J36">
        <f t="shared" si="2"/>
        <v>12</v>
      </c>
      <c r="K36">
        <f t="shared" si="3"/>
        <v>35</v>
      </c>
      <c r="L36" s="31"/>
      <c r="M36">
        <f t="shared" si="4"/>
        <v>23.5</v>
      </c>
      <c r="N36">
        <f t="shared" si="5"/>
        <v>27</v>
      </c>
      <c r="O36" s="31"/>
      <c r="P36">
        <f>IF(A36='State Detail'!BM$7,1,0)</f>
        <v>0</v>
      </c>
      <c r="Q36" s="24" t="e">
        <f t="shared" si="0"/>
        <v>#N/A</v>
      </c>
      <c r="R36" s="24" t="e">
        <f t="shared" si="1"/>
        <v>#N/A</v>
      </c>
      <c r="S36" s="31"/>
      <c r="T36">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15</v>
      </c>
      <c r="U36">
        <f>IF(COUNTBLANK(RawData[[#This Row],[3 Year Average Grad Rate, 150% of normal time, 4 year publics]])=0,_xlfn.RANK.AVG(RawData[[#This Row],[3 Year Average Grad Rate, 150% of normal time, 4 year publics]],RawData[3 Year Average Grad Rate, 150% of normal time, 4 year publics],1),"")</f>
        <v>35</v>
      </c>
      <c r="V36">
        <f>IF(COUNTBLANK(RawData[[#This Row],[3 Year Average full-time retention rate, 4 year publics]])=0,_xlfn.RANK.AVG(RawData[[#This Row],[3 Year Average full-time retention rate, 4 year publics]],RawData[3 Year Average full-time retention rate, 4 year publics],1),"")</f>
        <v>32.5</v>
      </c>
      <c r="W36">
        <f>IF(COUNTBLANK(RawData[[#This Row],[3 Year Average part-time retention rate, 4 year publics]])=0,_xlfn.RANK.AVG(RawData[[#This Row],[3 Year Average part-time retention rate, 4 year publics]],RawData[3 Year Average part-time retention rate, 4 year publics],1),"")</f>
        <v>19</v>
      </c>
    </row>
    <row r="37" spans="1:23" x14ac:dyDescent="0.35">
      <c r="A37" s="29" t="s">
        <v>142</v>
      </c>
      <c r="B37" s="30" t="s">
        <v>143</v>
      </c>
      <c r="C37" s="30">
        <f>IF(COUNTBLANK(RawData[[#This Row],[FTE undergrad enrollment at public 2-yrs, 2019]])=0,_xlfn.RANK.AVG(RawData[[#This Row],[FTE undergrad enrollment at public 2-yrs, 2019]],RawData[FTE undergrad enrollment at public 2-yrs, 2019],0),"")</f>
        <v>31</v>
      </c>
      <c r="D37" s="30">
        <f>IF(COUNTBLANK(RawData[[#This Row],[FTE undergrad enrollment at public 2-yrs, 2023]])=0,_xlfn.RANK.AVG(RawData[[#This Row],[FTE undergrad enrollment at public 2-yrs, 2023]],RawData[FTE undergrad enrollment at public 2-yrs, 2023],0),"")</f>
        <v>31</v>
      </c>
      <c r="E37">
        <f>IF(COUNTBLANK(RawData[[#This Row],[FTE undergrad enrollment change at public 2-yrs (%), 2019 to 2023]])=0,_xlfn.RANK.AVG(RawData[[#This Row],[FTE undergrad enrollment change at public 2-yrs (%), 2019 to 2023]],RawData[FTE undergrad enrollment change at public 2-yrs (%), 2019 to 2023],1),"")</f>
        <v>25</v>
      </c>
      <c r="F37">
        <f>IF(COUNTBLANK(RawData[[#This Row],[3-year Graduation rate, public 2-yrs (3 yr rolling avg)]])=0,_xlfn.RANK.AVG(RawData[[#This Row],[3-year Graduation rate, public 2-yrs (3 yr rolling avg)]],RawData[3-year Graduation rate, public 2-yrs (3 yr rolling avg)],1),"")</f>
        <v>19</v>
      </c>
      <c r="G37">
        <f>IF(COUNTBLANK(RawData[[#This Row],[Retention rate (Full-time), public 2-yrs (3 yr rolling avg)]])=0,_xlfn.RANK.AVG(RawData[[#This Row],[Retention rate (Full-time), public 2-yrs (3 yr rolling avg)]],RawData[Retention rate (Full-time), public 2-yrs (3 yr rolling avg)],1),"")</f>
        <v>18</v>
      </c>
      <c r="H37">
        <f>IF(COUNTBLANK(RawData[[#This Row],[Retention rate (Part-time), public 2-yrs (3 yr rolling avg)]])=0,_xlfn.RANK.AVG(RawData[[#This Row],[Retention rate (Part-time), public 2-yrs (3 yr rolling avg)]],RawData[Retention rate (Part-time), public 2-yrs (3 yr rolling avg)],1),"")</f>
        <v>8</v>
      </c>
      <c r="I37" s="31"/>
      <c r="J37">
        <f t="shared" si="2"/>
        <v>25</v>
      </c>
      <c r="K37">
        <f t="shared" si="3"/>
        <v>35</v>
      </c>
      <c r="L37" s="31"/>
      <c r="M37">
        <f t="shared" si="4"/>
        <v>30</v>
      </c>
      <c r="N37">
        <f t="shared" si="5"/>
        <v>14</v>
      </c>
      <c r="O37" s="31"/>
      <c r="P37">
        <f>IF(A37='State Detail'!BM$7,1,0)</f>
        <v>0</v>
      </c>
      <c r="Q37" s="24" t="e">
        <f t="shared" si="0"/>
        <v>#N/A</v>
      </c>
      <c r="R37" s="24" t="e">
        <f t="shared" si="1"/>
        <v>#N/A</v>
      </c>
      <c r="S37" s="31"/>
      <c r="T37">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22.5</v>
      </c>
      <c r="U37">
        <f>IF(COUNTBLANK(RawData[[#This Row],[3 Year Average Grad Rate, 150% of normal time, 4 year publics]])=0,_xlfn.RANK.AVG(RawData[[#This Row],[3 Year Average Grad Rate, 150% of normal time, 4 year publics]],RawData[3 Year Average Grad Rate, 150% of normal time, 4 year publics],1),"")</f>
        <v>8.5</v>
      </c>
      <c r="V37">
        <f>IF(COUNTBLANK(RawData[[#This Row],[3 Year Average full-time retention rate, 4 year publics]])=0,_xlfn.RANK.AVG(RawData[[#This Row],[3 Year Average full-time retention rate, 4 year publics]],RawData[3 Year Average full-time retention rate, 4 year publics],1),"")</f>
        <v>11</v>
      </c>
      <c r="W37">
        <f>IF(COUNTBLANK(RawData[[#This Row],[3 Year Average part-time retention rate, 4 year publics]])=0,_xlfn.RANK.AVG(RawData[[#This Row],[3 Year Average part-time retention rate, 4 year publics]],RawData[3 Year Average part-time retention rate, 4 year publics],1),"")</f>
        <v>48</v>
      </c>
    </row>
    <row r="38" spans="1:23" x14ac:dyDescent="0.35">
      <c r="A38" s="29" t="s">
        <v>144</v>
      </c>
      <c r="B38" s="30" t="s">
        <v>145</v>
      </c>
      <c r="C38" s="30">
        <f>IF(COUNTBLANK(RawData[[#This Row],[FTE undergrad enrollment at public 2-yrs, 2019]])=0,_xlfn.RANK.AVG(RawData[[#This Row],[FTE undergrad enrollment at public 2-yrs, 2019]],RawData[FTE undergrad enrollment at public 2-yrs, 2019],0),"")</f>
        <v>20</v>
      </c>
      <c r="D38" s="30">
        <f>IF(COUNTBLANK(RawData[[#This Row],[FTE undergrad enrollment at public 2-yrs, 2023]])=0,_xlfn.RANK.AVG(RawData[[#This Row],[FTE undergrad enrollment at public 2-yrs, 2023]],RawData[FTE undergrad enrollment at public 2-yrs, 2023],0),"")</f>
        <v>27</v>
      </c>
      <c r="E38">
        <f>IF(COUNTBLANK(RawData[[#This Row],[FTE undergrad enrollment change at public 2-yrs (%), 2019 to 2023]])=0,_xlfn.RANK.AVG(RawData[[#This Row],[FTE undergrad enrollment change at public 2-yrs (%), 2019 to 2023]],RawData[FTE undergrad enrollment change at public 2-yrs (%), 2019 to 2023],1),"")</f>
        <v>3</v>
      </c>
      <c r="F38">
        <f>IF(COUNTBLANK(RawData[[#This Row],[3-year Graduation rate, public 2-yrs (3 yr rolling avg)]])=0,_xlfn.RANK.AVG(RawData[[#This Row],[3-year Graduation rate, public 2-yrs (3 yr rolling avg)]],RawData[3-year Graduation rate, public 2-yrs (3 yr rolling avg)],1),"")</f>
        <v>7</v>
      </c>
      <c r="G38">
        <f>IF(COUNTBLANK(RawData[[#This Row],[Retention rate (Full-time), public 2-yrs (3 yr rolling avg)]])=0,_xlfn.RANK.AVG(RawData[[#This Row],[Retention rate (Full-time), public 2-yrs (3 yr rolling avg)]],RawData[Retention rate (Full-time), public 2-yrs (3 yr rolling avg)],1),"")</f>
        <v>8</v>
      </c>
      <c r="H38">
        <f>IF(COUNTBLANK(RawData[[#This Row],[Retention rate (Part-time), public 2-yrs (3 yr rolling avg)]])=0,_xlfn.RANK.AVG(RawData[[#This Row],[Retention rate (Part-time), public 2-yrs (3 yr rolling avg)]],RawData[Retention rate (Part-time), public 2-yrs (3 yr rolling avg)],1),"")</f>
        <v>9</v>
      </c>
      <c r="I38" s="31"/>
      <c r="J38">
        <f t="shared" si="2"/>
        <v>47</v>
      </c>
      <c r="K38">
        <f t="shared" si="3"/>
        <v>42</v>
      </c>
      <c r="L38" s="31"/>
      <c r="M38">
        <f t="shared" si="4"/>
        <v>44.5</v>
      </c>
      <c r="N38">
        <f t="shared" si="5"/>
        <v>1</v>
      </c>
      <c r="O38" s="31"/>
      <c r="P38">
        <f>IF(A38='State Detail'!BM$7,1,0)</f>
        <v>0</v>
      </c>
      <c r="Q38" s="24" t="e">
        <f t="shared" si="0"/>
        <v>#N/A</v>
      </c>
      <c r="R38" s="24" t="e">
        <f t="shared" si="1"/>
        <v>#N/A</v>
      </c>
      <c r="S38" s="31"/>
      <c r="T38">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25.5</v>
      </c>
      <c r="U38">
        <f>IF(COUNTBLANK(RawData[[#This Row],[3 Year Average Grad Rate, 150% of normal time, 4 year publics]])=0,_xlfn.RANK.AVG(RawData[[#This Row],[3 Year Average Grad Rate, 150% of normal time, 4 year publics]],RawData[3 Year Average Grad Rate, 150% of normal time, 4 year publics],1),"")</f>
        <v>27.5</v>
      </c>
      <c r="V38">
        <f>IF(COUNTBLANK(RawData[[#This Row],[3 Year Average full-time retention rate, 4 year publics]])=0,_xlfn.RANK.AVG(RawData[[#This Row],[3 Year Average full-time retention rate, 4 year publics]],RawData[3 Year Average full-time retention rate, 4 year publics],1),"")</f>
        <v>31</v>
      </c>
      <c r="W38">
        <f>IF(COUNTBLANK(RawData[[#This Row],[3 Year Average part-time retention rate, 4 year publics]])=0,_xlfn.RANK.AVG(RawData[[#This Row],[3 Year Average part-time retention rate, 4 year publics]],RawData[3 Year Average part-time retention rate, 4 year publics],1),"")</f>
        <v>46</v>
      </c>
    </row>
    <row r="39" spans="1:23" x14ac:dyDescent="0.35">
      <c r="A39" s="29" t="s">
        <v>146</v>
      </c>
      <c r="B39" s="30" t="s">
        <v>147</v>
      </c>
      <c r="C39" s="30">
        <f>IF(COUNTBLANK(RawData[[#This Row],[FTE undergrad enrollment at public 2-yrs, 2019]])=0,_xlfn.RANK.AVG(RawData[[#This Row],[FTE undergrad enrollment at public 2-yrs, 2019]],RawData[FTE undergrad enrollment at public 2-yrs, 2019],0),"")</f>
        <v>14</v>
      </c>
      <c r="D39" s="30">
        <f>IF(COUNTBLANK(RawData[[#This Row],[FTE undergrad enrollment at public 2-yrs, 2023]])=0,_xlfn.RANK.AVG(RawData[[#This Row],[FTE undergrad enrollment at public 2-yrs, 2023]],RawData[FTE undergrad enrollment at public 2-yrs, 2023],0),"")</f>
        <v>14</v>
      </c>
      <c r="E39">
        <f>IF(COUNTBLANK(RawData[[#This Row],[FTE undergrad enrollment change at public 2-yrs (%), 2019 to 2023]])=0,_xlfn.RANK.AVG(RawData[[#This Row],[FTE undergrad enrollment change at public 2-yrs (%), 2019 to 2023]],RawData[FTE undergrad enrollment change at public 2-yrs (%), 2019 to 2023],1),"")</f>
        <v>4</v>
      </c>
      <c r="F39">
        <f>IF(COUNTBLANK(RawData[[#This Row],[3-year Graduation rate, public 2-yrs (3 yr rolling avg)]])=0,_xlfn.RANK.AVG(RawData[[#This Row],[3-year Graduation rate, public 2-yrs (3 yr rolling avg)]],RawData[3-year Graduation rate, public 2-yrs (3 yr rolling avg)],1),"")</f>
        <v>12</v>
      </c>
      <c r="G39">
        <f>IF(COUNTBLANK(RawData[[#This Row],[Retention rate (Full-time), public 2-yrs (3 yr rolling avg)]])=0,_xlfn.RANK.AVG(RawData[[#This Row],[Retention rate (Full-time), public 2-yrs (3 yr rolling avg)]],RawData[Retention rate (Full-time), public 2-yrs (3 yr rolling avg)],1),"")</f>
        <v>30</v>
      </c>
      <c r="H39">
        <f>IF(COUNTBLANK(RawData[[#This Row],[Retention rate (Part-time), public 2-yrs (3 yr rolling avg)]])=0,_xlfn.RANK.AVG(RawData[[#This Row],[Retention rate (Part-time), public 2-yrs (3 yr rolling avg)]],RawData[Retention rate (Part-time), public 2-yrs (3 yr rolling avg)],1),"")</f>
        <v>26</v>
      </c>
      <c r="I39" s="31"/>
      <c r="J39">
        <f t="shared" si="2"/>
        <v>46</v>
      </c>
      <c r="K39">
        <f t="shared" si="3"/>
        <v>27.333333333333332</v>
      </c>
      <c r="L39" s="31"/>
      <c r="M39">
        <f t="shared" si="4"/>
        <v>36.666666666666664</v>
      </c>
      <c r="N39">
        <f t="shared" si="5"/>
        <v>7</v>
      </c>
      <c r="O39" s="31"/>
      <c r="P39">
        <f>IF(A39='State Detail'!BM$7,1,0)</f>
        <v>0</v>
      </c>
      <c r="Q39" s="24" t="e">
        <f t="shared" si="0"/>
        <v>#N/A</v>
      </c>
      <c r="R39" s="24" t="e">
        <f t="shared" si="1"/>
        <v>#N/A</v>
      </c>
      <c r="S39" s="31"/>
      <c r="T39">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19</v>
      </c>
      <c r="U39">
        <f>IF(COUNTBLANK(RawData[[#This Row],[3 Year Average Grad Rate, 150% of normal time, 4 year publics]])=0,_xlfn.RANK.AVG(RawData[[#This Row],[3 Year Average Grad Rate, 150% of normal time, 4 year publics]],RawData[3 Year Average Grad Rate, 150% of normal time, 4 year publics],1),"")</f>
        <v>24</v>
      </c>
      <c r="V39">
        <f>IF(COUNTBLANK(RawData[[#This Row],[3 Year Average full-time retention rate, 4 year publics]])=0,_xlfn.RANK.AVG(RawData[[#This Row],[3 Year Average full-time retention rate, 4 year publics]],RawData[3 Year Average full-time retention rate, 4 year publics],1),"")</f>
        <v>35.5</v>
      </c>
      <c r="W39">
        <f>IF(COUNTBLANK(RawData[[#This Row],[3 Year Average part-time retention rate, 4 year publics]])=0,_xlfn.RANK.AVG(RawData[[#This Row],[3 Year Average part-time retention rate, 4 year publics]],RawData[3 Year Average part-time retention rate, 4 year publics],1),"")</f>
        <v>33</v>
      </c>
    </row>
    <row r="40" spans="1:23" x14ac:dyDescent="0.35">
      <c r="A40" s="29" t="s">
        <v>148</v>
      </c>
      <c r="B40" s="30" t="s">
        <v>149</v>
      </c>
      <c r="C40" s="30">
        <f>IF(COUNTBLANK(RawData[[#This Row],[FTE undergrad enrollment at public 2-yrs, 2019]])=0,_xlfn.RANK.AVG(RawData[[#This Row],[FTE undergrad enrollment at public 2-yrs, 2019]],RawData[FTE undergrad enrollment at public 2-yrs, 2019],0),"")</f>
        <v>43</v>
      </c>
      <c r="D40" s="30">
        <f>IF(COUNTBLANK(RawData[[#This Row],[FTE undergrad enrollment at public 2-yrs, 2023]])=0,_xlfn.RANK.AVG(RawData[[#This Row],[FTE undergrad enrollment at public 2-yrs, 2023]],RawData[FTE undergrad enrollment at public 2-yrs, 2023],0),"")</f>
        <v>43</v>
      </c>
      <c r="E40">
        <f>IF(COUNTBLANK(RawData[[#This Row],[FTE undergrad enrollment change at public 2-yrs (%), 2019 to 2023]])=0,_xlfn.RANK.AVG(RawData[[#This Row],[FTE undergrad enrollment change at public 2-yrs (%), 2019 to 2023]],RawData[FTE undergrad enrollment change at public 2-yrs (%), 2019 to 2023],1),"")</f>
        <v>29</v>
      </c>
      <c r="F40">
        <f>IF(COUNTBLANK(RawData[[#This Row],[3-year Graduation rate, public 2-yrs (3 yr rolling avg)]])=0,_xlfn.RANK.AVG(RawData[[#This Row],[3-year Graduation rate, public 2-yrs (3 yr rolling avg)]],RawData[3-year Graduation rate, public 2-yrs (3 yr rolling avg)],1),"")</f>
        <v>9</v>
      </c>
      <c r="G40">
        <f>IF(COUNTBLANK(RawData[[#This Row],[Retention rate (Full-time), public 2-yrs (3 yr rolling avg)]])=0,_xlfn.RANK.AVG(RawData[[#This Row],[Retention rate (Full-time), public 2-yrs (3 yr rolling avg)]],RawData[Retention rate (Full-time), public 2-yrs (3 yr rolling avg)],1),"")</f>
        <v>12</v>
      </c>
      <c r="H40">
        <f>IF(COUNTBLANK(RawData[[#This Row],[Retention rate (Part-time), public 2-yrs (3 yr rolling avg)]])=0,_xlfn.RANK.AVG(RawData[[#This Row],[Retention rate (Part-time), public 2-yrs (3 yr rolling avg)]],RawData[Retention rate (Part-time), public 2-yrs (3 yr rolling avg)],1),"")</f>
        <v>7</v>
      </c>
      <c r="I40" s="31"/>
      <c r="J40">
        <f t="shared" si="2"/>
        <v>21</v>
      </c>
      <c r="K40">
        <f t="shared" si="3"/>
        <v>40.666666666666664</v>
      </c>
      <c r="L40" s="31"/>
      <c r="M40">
        <f t="shared" si="4"/>
        <v>30.833333333333332</v>
      </c>
      <c r="N40">
        <f t="shared" si="5"/>
        <v>10</v>
      </c>
      <c r="O40" s="31"/>
      <c r="P40">
        <f>IF(A40='State Detail'!BM$7,1,0)</f>
        <v>0</v>
      </c>
      <c r="Q40" s="24" t="e">
        <f t="shared" si="0"/>
        <v>#N/A</v>
      </c>
      <c r="R40" s="24" t="e">
        <f t="shared" si="1"/>
        <v>#N/A</v>
      </c>
      <c r="S40" s="31"/>
      <c r="T40">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29</v>
      </c>
      <c r="U40">
        <f>IF(COUNTBLANK(RawData[[#This Row],[3 Year Average Grad Rate, 150% of normal time, 4 year publics]])=0,_xlfn.RANK.AVG(RawData[[#This Row],[3 Year Average Grad Rate, 150% of normal time, 4 year publics]],RawData[3 Year Average Grad Rate, 150% of normal time, 4 year publics],1),"")</f>
        <v>27.5</v>
      </c>
      <c r="V40">
        <f>IF(COUNTBLANK(RawData[[#This Row],[3 Year Average full-time retention rate, 4 year publics]])=0,_xlfn.RANK.AVG(RawData[[#This Row],[3 Year Average full-time retention rate, 4 year publics]],RawData[3 Year Average full-time retention rate, 4 year publics],1),"")</f>
        <v>37.5</v>
      </c>
      <c r="W40">
        <f>IF(COUNTBLANK(RawData[[#This Row],[3 Year Average part-time retention rate, 4 year publics]])=0,_xlfn.RANK.AVG(RawData[[#This Row],[3 Year Average part-time retention rate, 4 year publics]],RawData[3 Year Average part-time retention rate, 4 year publics],1),"")</f>
        <v>34</v>
      </c>
    </row>
    <row r="41" spans="1:23" x14ac:dyDescent="0.35">
      <c r="A41" s="29" t="s">
        <v>150</v>
      </c>
      <c r="B41" s="30" t="s">
        <v>151</v>
      </c>
      <c r="C41" s="30">
        <f>IF(COUNTBLANK(RawData[[#This Row],[FTE undergrad enrollment at public 2-yrs, 2019]])=0,_xlfn.RANK.AVG(RawData[[#This Row],[FTE undergrad enrollment at public 2-yrs, 2019]],RawData[FTE undergrad enrollment at public 2-yrs, 2019],0),"")</f>
        <v>21</v>
      </c>
      <c r="D41" s="30">
        <f>IF(COUNTBLANK(RawData[[#This Row],[FTE undergrad enrollment at public 2-yrs, 2023]])=0,_xlfn.RANK.AVG(RawData[[#This Row],[FTE undergrad enrollment at public 2-yrs, 2023]],RawData[FTE undergrad enrollment at public 2-yrs, 2023],0),"")</f>
        <v>18</v>
      </c>
      <c r="E41">
        <f>IF(COUNTBLANK(RawData[[#This Row],[FTE undergrad enrollment change at public 2-yrs (%), 2019 to 2023]])=0,_xlfn.RANK.AVG(RawData[[#This Row],[FTE undergrad enrollment change at public 2-yrs (%), 2019 to 2023]],RawData[FTE undergrad enrollment change at public 2-yrs (%), 2019 to 2023],1),"")</f>
        <v>48</v>
      </c>
      <c r="F41">
        <f>IF(COUNTBLANK(RawData[[#This Row],[3-year Graduation rate, public 2-yrs (3 yr rolling avg)]])=0,_xlfn.RANK.AVG(RawData[[#This Row],[3-year Graduation rate, public 2-yrs (3 yr rolling avg)]],RawData[3-year Graduation rate, public 2-yrs (3 yr rolling avg)],1),"")</f>
        <v>10</v>
      </c>
      <c r="G41">
        <f>IF(COUNTBLANK(RawData[[#This Row],[Retention rate (Full-time), public 2-yrs (3 yr rolling avg)]])=0,_xlfn.RANK.AVG(RawData[[#This Row],[Retention rate (Full-time), public 2-yrs (3 yr rolling avg)]],RawData[Retention rate (Full-time), public 2-yrs (3 yr rolling avg)],1),"")</f>
        <v>2</v>
      </c>
      <c r="H41">
        <f>IF(COUNTBLANK(RawData[[#This Row],[Retention rate (Part-time), public 2-yrs (3 yr rolling avg)]])=0,_xlfn.RANK.AVG(RawData[[#This Row],[Retention rate (Part-time), public 2-yrs (3 yr rolling avg)]],RawData[Retention rate (Part-time), public 2-yrs (3 yr rolling avg)],1),"")</f>
        <v>5</v>
      </c>
      <c r="I41" s="31"/>
      <c r="J41">
        <f t="shared" si="2"/>
        <v>2</v>
      </c>
      <c r="K41">
        <f t="shared" si="3"/>
        <v>44.333333333333336</v>
      </c>
      <c r="L41" s="31"/>
      <c r="M41">
        <f t="shared" si="4"/>
        <v>23.166666666666668</v>
      </c>
      <c r="N41">
        <f t="shared" si="5"/>
        <v>30</v>
      </c>
      <c r="O41" s="31"/>
      <c r="P41">
        <f>IF(A41='State Detail'!BM$7,1,0)</f>
        <v>0</v>
      </c>
      <c r="Q41" s="24" t="e">
        <f t="shared" si="0"/>
        <v>#N/A</v>
      </c>
      <c r="R41" s="24" t="e">
        <f t="shared" si="1"/>
        <v>#N/A</v>
      </c>
      <c r="S41" s="31"/>
      <c r="T41">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45</v>
      </c>
      <c r="U41">
        <f>IF(COUNTBLANK(RawData[[#This Row],[3 Year Average Grad Rate, 150% of normal time, 4 year publics]])=0,_xlfn.RANK.AVG(RawData[[#This Row],[3 Year Average Grad Rate, 150% of normal time, 4 year publics]],RawData[3 Year Average Grad Rate, 150% of normal time, 4 year publics],1),"")</f>
        <v>37</v>
      </c>
      <c r="V41">
        <f>IF(COUNTBLANK(RawData[[#This Row],[3 Year Average full-time retention rate, 4 year publics]])=0,_xlfn.RANK.AVG(RawData[[#This Row],[3 Year Average full-time retention rate, 4 year publics]],RawData[3 Year Average full-time retention rate, 4 year publics],1),"")</f>
        <v>32.5</v>
      </c>
      <c r="W41">
        <f>IF(COUNTBLANK(RawData[[#This Row],[3 Year Average part-time retention rate, 4 year publics]])=0,_xlfn.RANK.AVG(RawData[[#This Row],[3 Year Average part-time retention rate, 4 year publics]],RawData[3 Year Average part-time retention rate, 4 year publics],1),"")</f>
        <v>2</v>
      </c>
    </row>
    <row r="42" spans="1:23" x14ac:dyDescent="0.35">
      <c r="A42" s="29" t="s">
        <v>153</v>
      </c>
      <c r="B42" s="30" t="s">
        <v>154</v>
      </c>
      <c r="C42" s="30">
        <f>IF(COUNTBLANK(RawData[[#This Row],[FTE undergrad enrollment at public 2-yrs, 2019]])=0,_xlfn.RANK.AVG(RawData[[#This Row],[FTE undergrad enrollment at public 2-yrs, 2019]],RawData[FTE undergrad enrollment at public 2-yrs, 2019],0),"")</f>
        <v>47</v>
      </c>
      <c r="D42" s="30">
        <f>IF(COUNTBLANK(RawData[[#This Row],[FTE undergrad enrollment at public 2-yrs, 2023]])=0,_xlfn.RANK.AVG(RawData[[#This Row],[FTE undergrad enrollment at public 2-yrs, 2023]],RawData[FTE undergrad enrollment at public 2-yrs, 2023],0),"")</f>
        <v>48</v>
      </c>
      <c r="E42">
        <f>IF(COUNTBLANK(RawData[[#This Row],[FTE undergrad enrollment change at public 2-yrs (%), 2019 to 2023]])=0,_xlfn.RANK.AVG(RawData[[#This Row],[FTE undergrad enrollment change at public 2-yrs (%), 2019 to 2023]],RawData[FTE undergrad enrollment change at public 2-yrs (%), 2019 to 2023],1),"")</f>
        <v>45</v>
      </c>
      <c r="F42">
        <f>IF(COUNTBLANK(RawData[[#This Row],[3-year Graduation rate, public 2-yrs (3 yr rolling avg)]])=0,_xlfn.RANK.AVG(RawData[[#This Row],[3-year Graduation rate, public 2-yrs (3 yr rolling avg)]],RawData[3-year Graduation rate, public 2-yrs (3 yr rolling avg)],1),"")</f>
        <v>49</v>
      </c>
      <c r="G42">
        <f>IF(COUNTBLANK(RawData[[#This Row],[Retention rate (Full-time), public 2-yrs (3 yr rolling avg)]])=0,_xlfn.RANK.AVG(RawData[[#This Row],[Retention rate (Full-time), public 2-yrs (3 yr rolling avg)]],RawData[Retention rate (Full-time), public 2-yrs (3 yr rolling avg)],1),"")</f>
        <v>48</v>
      </c>
      <c r="H42">
        <f>IF(COUNTBLANK(RawData[[#This Row],[Retention rate (Part-time), public 2-yrs (3 yr rolling avg)]])=0,_xlfn.RANK.AVG(RawData[[#This Row],[Retention rate (Part-time), public 2-yrs (3 yr rolling avg)]],RawData[Retention rate (Part-time), public 2-yrs (3 yr rolling avg)],1),"")</f>
        <v>48</v>
      </c>
      <c r="I42" s="31"/>
      <c r="J42">
        <f t="shared" si="2"/>
        <v>5</v>
      </c>
      <c r="K42">
        <f t="shared" si="3"/>
        <v>1.6666666666666643</v>
      </c>
      <c r="L42" s="31"/>
      <c r="M42">
        <f t="shared" si="4"/>
        <v>3.3333333333333321</v>
      </c>
      <c r="N42">
        <f t="shared" si="5"/>
        <v>49</v>
      </c>
      <c r="O42" s="31"/>
      <c r="P42">
        <f>IF(A42='State Detail'!BM$7,1,0)</f>
        <v>0</v>
      </c>
      <c r="Q42" s="24" t="e">
        <f t="shared" si="0"/>
        <v>#N/A</v>
      </c>
      <c r="R42" s="24" t="e">
        <f t="shared" si="1"/>
        <v>#N/A</v>
      </c>
      <c r="S42" s="31"/>
      <c r="T42">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18</v>
      </c>
      <c r="U42">
        <f>IF(COUNTBLANK(RawData[[#This Row],[3 Year Average Grad Rate, 150% of normal time, 4 year publics]])=0,_xlfn.RANK.AVG(RawData[[#This Row],[3 Year Average Grad Rate, 150% of normal time, 4 year publics]],RawData[3 Year Average Grad Rate, 150% of normal time, 4 year publics],1),"")</f>
        <v>14</v>
      </c>
      <c r="V42">
        <f>IF(COUNTBLANK(RawData[[#This Row],[3 Year Average full-time retention rate, 4 year publics]])=0,_xlfn.RANK.AVG(RawData[[#This Row],[3 Year Average full-time retention rate, 4 year publics]],RawData[3 Year Average full-time retention rate, 4 year publics],1),"")</f>
        <v>12</v>
      </c>
      <c r="W42">
        <f>IF(COUNTBLANK(RawData[[#This Row],[3 Year Average part-time retention rate, 4 year publics]])=0,_xlfn.RANK.AVG(RawData[[#This Row],[3 Year Average part-time retention rate, 4 year publics]],RawData[3 Year Average part-time retention rate, 4 year publics],1),"")</f>
        <v>23.5</v>
      </c>
    </row>
    <row r="43" spans="1:23" x14ac:dyDescent="0.35">
      <c r="A43" s="29" t="s">
        <v>155</v>
      </c>
      <c r="B43" s="30" t="s">
        <v>156</v>
      </c>
      <c r="C43" s="30">
        <f>IF(COUNTBLANK(RawData[[#This Row],[FTE undergrad enrollment at public 2-yrs, 2019]])=0,_xlfn.RANK.AVG(RawData[[#This Row],[FTE undergrad enrollment at public 2-yrs, 2019]],RawData[FTE undergrad enrollment at public 2-yrs, 2019],0),"")</f>
        <v>26</v>
      </c>
      <c r="D43" s="30">
        <f>IF(COUNTBLANK(RawData[[#This Row],[FTE undergrad enrollment at public 2-yrs, 2023]])=0,_xlfn.RANK.AVG(RawData[[#This Row],[FTE undergrad enrollment at public 2-yrs, 2023]],RawData[FTE undergrad enrollment at public 2-yrs, 2023],0),"")</f>
        <v>25</v>
      </c>
      <c r="E43">
        <f>IF(COUNTBLANK(RawData[[#This Row],[FTE undergrad enrollment change at public 2-yrs (%), 2019 to 2023]])=0,_xlfn.RANK.AVG(RawData[[#This Row],[FTE undergrad enrollment change at public 2-yrs (%), 2019 to 2023]],RawData[FTE undergrad enrollment change at public 2-yrs (%), 2019 to 2023],1),"")</f>
        <v>9</v>
      </c>
      <c r="F43">
        <f>IF(COUNTBLANK(RawData[[#This Row],[3-year Graduation rate, public 2-yrs (3 yr rolling avg)]])=0,_xlfn.RANK.AVG(RawData[[#This Row],[3-year Graduation rate, public 2-yrs (3 yr rolling avg)]],RawData[3-year Graduation rate, public 2-yrs (3 yr rolling avg)],1),"")</f>
        <v>14</v>
      </c>
      <c r="G43">
        <f>IF(COUNTBLANK(RawData[[#This Row],[Retention rate (Full-time), public 2-yrs (3 yr rolling avg)]])=0,_xlfn.RANK.AVG(RawData[[#This Row],[Retention rate (Full-time), public 2-yrs (3 yr rolling avg)]],RawData[Retention rate (Full-time), public 2-yrs (3 yr rolling avg)],1),"")</f>
        <v>1</v>
      </c>
      <c r="H43">
        <f>IF(COUNTBLANK(RawData[[#This Row],[Retention rate (Part-time), public 2-yrs (3 yr rolling avg)]])=0,_xlfn.RANK.AVG(RawData[[#This Row],[Retention rate (Part-time), public 2-yrs (3 yr rolling avg)]],RawData[Retention rate (Part-time), public 2-yrs (3 yr rolling avg)],1),"")</f>
        <v>21</v>
      </c>
      <c r="I43" s="31"/>
      <c r="J43">
        <f t="shared" si="2"/>
        <v>41</v>
      </c>
      <c r="K43">
        <f t="shared" si="3"/>
        <v>38</v>
      </c>
      <c r="L43" s="31"/>
      <c r="M43">
        <f t="shared" si="4"/>
        <v>39.5</v>
      </c>
      <c r="N43">
        <f t="shared" si="5"/>
        <v>6</v>
      </c>
      <c r="O43" s="31"/>
      <c r="P43">
        <f>IF(A43='State Detail'!BM$7,1,0)</f>
        <v>0</v>
      </c>
      <c r="Q43" s="24" t="e">
        <f t="shared" si="0"/>
        <v>#N/A</v>
      </c>
      <c r="R43" s="24" t="e">
        <f t="shared" si="1"/>
        <v>#N/A</v>
      </c>
      <c r="S43" s="31"/>
      <c r="T43">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42</v>
      </c>
      <c r="U43">
        <f>IF(COUNTBLANK(RawData[[#This Row],[3 Year Average Grad Rate, 150% of normal time, 4 year publics]])=0,_xlfn.RANK.AVG(RawData[[#This Row],[3 Year Average Grad Rate, 150% of normal time, 4 year publics]],RawData[3 Year Average Grad Rate, 150% of normal time, 4 year publics],1),"")</f>
        <v>13</v>
      </c>
      <c r="V43">
        <f>IF(COUNTBLANK(RawData[[#This Row],[3 Year Average full-time retention rate, 4 year publics]])=0,_xlfn.RANK.AVG(RawData[[#This Row],[3 Year Average full-time retention rate, 4 year publics]],RawData[3 Year Average full-time retention rate, 4 year publics],1),"")</f>
        <v>13.5</v>
      </c>
      <c r="W43">
        <f>IF(COUNTBLANK(RawData[[#This Row],[3 Year Average part-time retention rate, 4 year publics]])=0,_xlfn.RANK.AVG(RawData[[#This Row],[3 Year Average part-time retention rate, 4 year publics]],RawData[3 Year Average part-time retention rate, 4 year publics],1),"")</f>
        <v>18</v>
      </c>
    </row>
    <row r="44" spans="1:23" x14ac:dyDescent="0.35">
      <c r="A44" s="29" t="s">
        <v>158</v>
      </c>
      <c r="B44" s="30" t="s">
        <v>159</v>
      </c>
      <c r="C44" s="30">
        <f>IF(COUNTBLANK(RawData[[#This Row],[FTE undergrad enrollment at public 2-yrs, 2019]])=0,_xlfn.RANK.AVG(RawData[[#This Row],[FTE undergrad enrollment at public 2-yrs, 2019]],RawData[FTE undergrad enrollment at public 2-yrs, 2019],0),"")</f>
        <v>2</v>
      </c>
      <c r="D44" s="30">
        <f>IF(COUNTBLANK(RawData[[#This Row],[FTE undergrad enrollment at public 2-yrs, 2023]])=0,_xlfn.RANK.AVG(RawData[[#This Row],[FTE undergrad enrollment at public 2-yrs, 2023]],RawData[FTE undergrad enrollment at public 2-yrs, 2023],0),"")</f>
        <v>2</v>
      </c>
      <c r="E44">
        <f>IF(COUNTBLANK(RawData[[#This Row],[FTE undergrad enrollment change at public 2-yrs (%), 2019 to 2023]])=0,_xlfn.RANK.AVG(RawData[[#This Row],[FTE undergrad enrollment change at public 2-yrs (%), 2019 to 2023]],RawData[FTE undergrad enrollment change at public 2-yrs (%), 2019 to 2023],1),"")</f>
        <v>43</v>
      </c>
      <c r="F44">
        <f>IF(COUNTBLANK(RawData[[#This Row],[3-year Graduation rate, public 2-yrs (3 yr rolling avg)]])=0,_xlfn.RANK.AVG(RawData[[#This Row],[3-year Graduation rate, public 2-yrs (3 yr rolling avg)]],RawData[3-year Graduation rate, public 2-yrs (3 yr rolling avg)],1),"")</f>
        <v>8</v>
      </c>
      <c r="G44">
        <f>IF(COUNTBLANK(RawData[[#This Row],[Retention rate (Full-time), public 2-yrs (3 yr rolling avg)]])=0,_xlfn.RANK.AVG(RawData[[#This Row],[Retention rate (Full-time), public 2-yrs (3 yr rolling avg)]],RawData[Retention rate (Full-time), public 2-yrs (3 yr rolling avg)],1),"")</f>
        <v>10</v>
      </c>
      <c r="H44">
        <f>IF(COUNTBLANK(RawData[[#This Row],[Retention rate (Part-time), public 2-yrs (3 yr rolling avg)]])=0,_xlfn.RANK.AVG(RawData[[#This Row],[Retention rate (Part-time), public 2-yrs (3 yr rolling avg)]],RawData[Retention rate (Part-time), public 2-yrs (3 yr rolling avg)],1),"")</f>
        <v>44</v>
      </c>
      <c r="I44" s="31"/>
      <c r="J44">
        <f t="shared" si="2"/>
        <v>7</v>
      </c>
      <c r="K44">
        <f t="shared" si="3"/>
        <v>29.333333333333332</v>
      </c>
      <c r="L44" s="31"/>
      <c r="M44">
        <f t="shared" si="4"/>
        <v>18.166666666666664</v>
      </c>
      <c r="N44">
        <f t="shared" si="5"/>
        <v>38</v>
      </c>
      <c r="O44" s="31"/>
      <c r="P44">
        <f>IF(A44='State Detail'!BM$7,1,0)</f>
        <v>0</v>
      </c>
      <c r="Q44" s="24" t="e">
        <f t="shared" si="0"/>
        <v>#N/A</v>
      </c>
      <c r="R44" s="24" t="e">
        <f t="shared" si="1"/>
        <v>#N/A</v>
      </c>
      <c r="S44" s="31"/>
      <c r="T44">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41</v>
      </c>
      <c r="U44">
        <f>IF(COUNTBLANK(RawData[[#This Row],[3 Year Average Grad Rate, 150% of normal time, 4 year publics]])=0,_xlfn.RANK.AVG(RawData[[#This Row],[3 Year Average Grad Rate, 150% of normal time, 4 year publics]],RawData[3 Year Average Grad Rate, 150% of normal time, 4 year publics],1),"")</f>
        <v>19</v>
      </c>
      <c r="V44">
        <f>IF(COUNTBLANK(RawData[[#This Row],[3 Year Average full-time retention rate, 4 year publics]])=0,_xlfn.RANK.AVG(RawData[[#This Row],[3 Year Average full-time retention rate, 4 year publics]],RawData[3 Year Average full-time retention rate, 4 year publics],1),"")</f>
        <v>26</v>
      </c>
      <c r="W44">
        <f>IF(COUNTBLANK(RawData[[#This Row],[3 Year Average part-time retention rate, 4 year publics]])=0,_xlfn.RANK.AVG(RawData[[#This Row],[3 Year Average part-time retention rate, 4 year publics]],RawData[3 Year Average part-time retention rate, 4 year publics],1),"")</f>
        <v>45</v>
      </c>
    </row>
    <row r="45" spans="1:23" x14ac:dyDescent="0.35">
      <c r="A45" s="29" t="s">
        <v>161</v>
      </c>
      <c r="B45" s="30" t="s">
        <v>162</v>
      </c>
      <c r="C45" s="30">
        <f>IF(COUNTBLANK(RawData[[#This Row],[FTE undergrad enrollment at public 2-yrs, 2019]])=0,_xlfn.RANK.AVG(RawData[[#This Row],[FTE undergrad enrollment at public 2-yrs, 2019]],RawData[FTE undergrad enrollment at public 2-yrs, 2019],0),"")</f>
        <v>37</v>
      </c>
      <c r="D45" s="30">
        <f>IF(COUNTBLANK(RawData[[#This Row],[FTE undergrad enrollment at public 2-yrs, 2023]])=0,_xlfn.RANK.AVG(RawData[[#This Row],[FTE undergrad enrollment at public 2-yrs, 2023]],RawData[FTE undergrad enrollment at public 2-yrs, 2023],0),"")</f>
        <v>37</v>
      </c>
      <c r="E45">
        <f>IF(COUNTBLANK(RawData[[#This Row],[FTE undergrad enrollment change at public 2-yrs (%), 2019 to 2023]])=0,_xlfn.RANK.AVG(RawData[[#This Row],[FTE undergrad enrollment change at public 2-yrs (%), 2019 to 2023]],RawData[FTE undergrad enrollment change at public 2-yrs (%), 2019 to 2023],1),"")</f>
        <v>32</v>
      </c>
      <c r="F45">
        <f>IF(COUNTBLANK(RawData[[#This Row],[3-year Graduation rate, public 2-yrs (3 yr rolling avg)]])=0,_xlfn.RANK.AVG(RawData[[#This Row],[3-year Graduation rate, public 2-yrs (3 yr rolling avg)]],RawData[3-year Graduation rate, public 2-yrs (3 yr rolling avg)],1),"")</f>
        <v>26</v>
      </c>
      <c r="G45">
        <f>IF(COUNTBLANK(RawData[[#This Row],[Retention rate (Full-time), public 2-yrs (3 yr rolling avg)]])=0,_xlfn.RANK.AVG(RawData[[#This Row],[Retention rate (Full-time), public 2-yrs (3 yr rolling avg)]],RawData[Retention rate (Full-time), public 2-yrs (3 yr rolling avg)],1),"")</f>
        <v>16</v>
      </c>
      <c r="H45">
        <f>IF(COUNTBLANK(RawData[[#This Row],[Retention rate (Part-time), public 2-yrs (3 yr rolling avg)]])=0,_xlfn.RANK.AVG(RawData[[#This Row],[Retention rate (Part-time), public 2-yrs (3 yr rolling avg)]],RawData[Retention rate (Part-time), public 2-yrs (3 yr rolling avg)],1),"")</f>
        <v>24</v>
      </c>
      <c r="I45" s="31"/>
      <c r="J45">
        <f t="shared" si="2"/>
        <v>18</v>
      </c>
      <c r="K45">
        <f t="shared" si="3"/>
        <v>28</v>
      </c>
      <c r="L45" s="31"/>
      <c r="M45">
        <f t="shared" si="4"/>
        <v>23</v>
      </c>
      <c r="N45">
        <f t="shared" si="5"/>
        <v>31</v>
      </c>
      <c r="O45" s="31"/>
      <c r="P45">
        <f>IF(A45='State Detail'!BM$7,1,0)</f>
        <v>0</v>
      </c>
      <c r="Q45" s="24" t="e">
        <f t="shared" si="0"/>
        <v>#N/A</v>
      </c>
      <c r="R45" s="24" t="e">
        <f t="shared" si="1"/>
        <v>#N/A</v>
      </c>
      <c r="S45" s="31"/>
      <c r="T45">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49</v>
      </c>
      <c r="U45">
        <f>IF(COUNTBLANK(RawData[[#This Row],[3 Year Average Grad Rate, 150% of normal time, 4 year publics]])=0,_xlfn.RANK.AVG(RawData[[#This Row],[3 Year Average Grad Rate, 150% of normal time, 4 year publics]],RawData[3 Year Average Grad Rate, 150% of normal time, 4 year publics],1),"")</f>
        <v>11</v>
      </c>
      <c r="V45">
        <f>IF(COUNTBLANK(RawData[[#This Row],[3 Year Average full-time retention rate, 4 year publics]])=0,_xlfn.RANK.AVG(RawData[[#This Row],[3 Year Average full-time retention rate, 4 year publics]],RawData[3 Year Average full-time retention rate, 4 year publics],1),"")</f>
        <v>6.5</v>
      </c>
      <c r="W45">
        <f>IF(COUNTBLANK(RawData[[#This Row],[3 Year Average part-time retention rate, 4 year publics]])=0,_xlfn.RANK.AVG(RawData[[#This Row],[3 Year Average part-time retention rate, 4 year publics]],RawData[3 Year Average part-time retention rate, 4 year publics],1),"")</f>
        <v>26</v>
      </c>
    </row>
    <row r="46" spans="1:23" x14ac:dyDescent="0.35">
      <c r="A46" s="29" t="s">
        <v>163</v>
      </c>
      <c r="B46" s="30" t="s">
        <v>164</v>
      </c>
      <c r="C46" s="30">
        <f>IF(COUNTBLANK(RawData[[#This Row],[FTE undergrad enrollment at public 2-yrs, 2019]])=0,_xlfn.RANK.AVG(RawData[[#This Row],[FTE undergrad enrollment at public 2-yrs, 2019]],RawData[FTE undergrad enrollment at public 2-yrs, 2019],0),"")</f>
        <v>49</v>
      </c>
      <c r="D46" s="30">
        <f>IF(COUNTBLANK(RawData[[#This Row],[FTE undergrad enrollment at public 2-yrs, 2023]])=0,_xlfn.RANK.AVG(RawData[[#This Row],[FTE undergrad enrollment at public 2-yrs, 2023]],RawData[FTE undergrad enrollment at public 2-yrs, 2023],0),"")</f>
        <v>47</v>
      </c>
      <c r="E46">
        <f>IF(COUNTBLANK(RawData[[#This Row],[FTE undergrad enrollment change at public 2-yrs (%), 2019 to 2023]])=0,_xlfn.RANK.AVG(RawData[[#This Row],[FTE undergrad enrollment change at public 2-yrs (%), 2019 to 2023]],RawData[FTE undergrad enrollment change at public 2-yrs (%), 2019 to 2023],1),"")</f>
        <v>49</v>
      </c>
      <c r="F46">
        <f>IF(COUNTBLANK(RawData[[#This Row],[3-year Graduation rate, public 2-yrs (3 yr rolling avg)]])=0,_xlfn.RANK.AVG(RawData[[#This Row],[3-year Graduation rate, public 2-yrs (3 yr rolling avg)]],RawData[3-year Graduation rate, public 2-yrs (3 yr rolling avg)],1),"")</f>
        <v>44</v>
      </c>
      <c r="G46">
        <f>IF(COUNTBLANK(RawData[[#This Row],[Retention rate (Full-time), public 2-yrs (3 yr rolling avg)]])=0,_xlfn.RANK.AVG(RawData[[#This Row],[Retention rate (Full-time), public 2-yrs (3 yr rolling avg)]],RawData[Retention rate (Full-time), public 2-yrs (3 yr rolling avg)],1),"")</f>
        <v>6</v>
      </c>
      <c r="H46">
        <f>IF(COUNTBLANK(RawData[[#This Row],[Retention rate (Part-time), public 2-yrs (3 yr rolling avg)]])=0,_xlfn.RANK.AVG(RawData[[#This Row],[Retention rate (Part-time), public 2-yrs (3 yr rolling avg)]],RawData[Retention rate (Part-time), public 2-yrs (3 yr rolling avg)],1),"")</f>
        <v>4</v>
      </c>
      <c r="I46" s="31"/>
      <c r="J46">
        <f t="shared" si="2"/>
        <v>1</v>
      </c>
      <c r="K46">
        <f t="shared" si="3"/>
        <v>32</v>
      </c>
      <c r="L46" s="31"/>
      <c r="M46">
        <f t="shared" si="4"/>
        <v>16.5</v>
      </c>
      <c r="N46">
        <f t="shared" si="5"/>
        <v>42</v>
      </c>
      <c r="O46" s="31"/>
      <c r="P46">
        <f>IF(A46='State Detail'!BM$7,1,0)</f>
        <v>0</v>
      </c>
      <c r="Q46" s="24" t="e">
        <f t="shared" si="0"/>
        <v>#N/A</v>
      </c>
      <c r="R46" s="24" t="e">
        <f t="shared" si="1"/>
        <v>#N/A</v>
      </c>
      <c r="S46" s="31"/>
      <c r="T46">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48</v>
      </c>
      <c r="U46">
        <f>IF(COUNTBLANK(RawData[[#This Row],[3 Year Average Grad Rate, 150% of normal time, 4 year publics]])=0,_xlfn.RANK.AVG(RawData[[#This Row],[3 Year Average Grad Rate, 150% of normal time, 4 year publics]],RawData[3 Year Average Grad Rate, 150% of normal time, 4 year publics],1),"")</f>
        <v>44</v>
      </c>
      <c r="V46">
        <f>IF(COUNTBLANK(RawData[[#This Row],[3 Year Average full-time retention rate, 4 year publics]])=0,_xlfn.RANK.AVG(RawData[[#This Row],[3 Year Average full-time retention rate, 4 year publics]],RawData[3 Year Average full-time retention rate, 4 year publics],1),"")</f>
        <v>39</v>
      </c>
      <c r="W46">
        <f>IF(COUNTBLANK(RawData[[#This Row],[3 Year Average part-time retention rate, 4 year publics]])=0,_xlfn.RANK.AVG(RawData[[#This Row],[3 Year Average part-time retention rate, 4 year publics]],RawData[3 Year Average part-time retention rate, 4 year publics],1),"")</f>
        <v>16</v>
      </c>
    </row>
    <row r="47" spans="1:23" x14ac:dyDescent="0.35">
      <c r="A47" s="29" t="s">
        <v>165</v>
      </c>
      <c r="B47" s="30" t="s">
        <v>166</v>
      </c>
      <c r="C47" s="30">
        <f>IF(COUNTBLANK(RawData[[#This Row],[FTE undergrad enrollment at public 2-yrs, 2019]])=0,_xlfn.RANK.AVG(RawData[[#This Row],[FTE undergrad enrollment at public 2-yrs, 2019]],RawData[FTE undergrad enrollment at public 2-yrs, 2019],0),"")</f>
        <v>12</v>
      </c>
      <c r="D47" s="30">
        <f>IF(COUNTBLANK(RawData[[#This Row],[FTE undergrad enrollment at public 2-yrs, 2023]])=0,_xlfn.RANK.AVG(RawData[[#This Row],[FTE undergrad enrollment at public 2-yrs, 2023]],RawData[FTE undergrad enrollment at public 2-yrs, 2023],0),"")</f>
        <v>12</v>
      </c>
      <c r="E47">
        <f>IF(COUNTBLANK(RawData[[#This Row],[FTE undergrad enrollment change at public 2-yrs (%), 2019 to 2023]])=0,_xlfn.RANK.AVG(RawData[[#This Row],[FTE undergrad enrollment change at public 2-yrs (%), 2019 to 2023]],RawData[FTE undergrad enrollment change at public 2-yrs (%), 2019 to 2023],1),"")</f>
        <v>24</v>
      </c>
      <c r="F47">
        <f>IF(COUNTBLANK(RawData[[#This Row],[3-year Graduation rate, public 2-yrs (3 yr rolling avg)]])=0,_xlfn.RANK.AVG(RawData[[#This Row],[3-year Graduation rate, public 2-yrs (3 yr rolling avg)]],RawData[3-year Graduation rate, public 2-yrs (3 yr rolling avg)],1),"")</f>
        <v>35</v>
      </c>
      <c r="G47">
        <f>IF(COUNTBLANK(RawData[[#This Row],[Retention rate (Full-time), public 2-yrs (3 yr rolling avg)]])=0,_xlfn.RANK.AVG(RawData[[#This Row],[Retention rate (Full-time), public 2-yrs (3 yr rolling avg)]],RawData[Retention rate (Full-time), public 2-yrs (3 yr rolling avg)],1),"")</f>
        <v>41</v>
      </c>
      <c r="H47">
        <f>IF(COUNTBLANK(RawData[[#This Row],[Retention rate (Part-time), public 2-yrs (3 yr rolling avg)]])=0,_xlfn.RANK.AVG(RawData[[#This Row],[Retention rate (Part-time), public 2-yrs (3 yr rolling avg)]],RawData[Retention rate (Part-time), public 2-yrs (3 yr rolling avg)],1),"")</f>
        <v>37</v>
      </c>
      <c r="I47" s="31"/>
      <c r="J47">
        <f t="shared" si="2"/>
        <v>26</v>
      </c>
      <c r="K47">
        <f t="shared" si="3"/>
        <v>12.333333333333336</v>
      </c>
      <c r="L47" s="31"/>
      <c r="M47">
        <f t="shared" si="4"/>
        <v>19.166666666666668</v>
      </c>
      <c r="N47">
        <f t="shared" si="5"/>
        <v>37</v>
      </c>
      <c r="O47" s="31"/>
      <c r="P47">
        <f>IF(A47='State Detail'!BM$7,1,0)</f>
        <v>0</v>
      </c>
      <c r="Q47" s="24" t="e">
        <f t="shared" si="0"/>
        <v>#N/A</v>
      </c>
      <c r="R47" s="24" t="e">
        <f t="shared" si="1"/>
        <v>#N/A</v>
      </c>
      <c r="S47" s="31"/>
      <c r="T47">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37</v>
      </c>
      <c r="U47">
        <f>IF(COUNTBLANK(RawData[[#This Row],[3 Year Average Grad Rate, 150% of normal time, 4 year publics]])=0,_xlfn.RANK.AVG(RawData[[#This Row],[3 Year Average Grad Rate, 150% of normal time, 4 year publics]],RawData[3 Year Average Grad Rate, 150% of normal time, 4 year publics],1),"")</f>
        <v>47</v>
      </c>
      <c r="V47">
        <f>IF(COUNTBLANK(RawData[[#This Row],[3 Year Average full-time retention rate, 4 year publics]])=0,_xlfn.RANK.AVG(RawData[[#This Row],[3 Year Average full-time retention rate, 4 year publics]],RawData[3 Year Average full-time retention rate, 4 year publics],1),"")</f>
        <v>46</v>
      </c>
      <c r="W47">
        <f>IF(COUNTBLANK(RawData[[#This Row],[3 Year Average part-time retention rate, 4 year publics]])=0,_xlfn.RANK.AVG(RawData[[#This Row],[3 Year Average part-time retention rate, 4 year publics]],RawData[3 Year Average part-time retention rate, 4 year publics],1),"")</f>
        <v>47</v>
      </c>
    </row>
    <row r="48" spans="1:23" x14ac:dyDescent="0.35">
      <c r="A48" s="29" t="s">
        <v>167</v>
      </c>
      <c r="B48" s="30" t="s">
        <v>168</v>
      </c>
      <c r="C48" s="30">
        <f>IF(COUNTBLANK(RawData[[#This Row],[FTE undergrad enrollment at public 2-yrs, 2019]])=0,_xlfn.RANK.AVG(RawData[[#This Row],[FTE undergrad enrollment at public 2-yrs, 2019]],RawData[FTE undergrad enrollment at public 2-yrs, 2019],0),"")</f>
        <v>7</v>
      </c>
      <c r="D48" s="30">
        <f>IF(COUNTBLANK(RawData[[#This Row],[FTE undergrad enrollment at public 2-yrs, 2023]])=0,_xlfn.RANK.AVG(RawData[[#This Row],[FTE undergrad enrollment at public 2-yrs, 2023]],RawData[FTE undergrad enrollment at public 2-yrs, 2023],0),"")</f>
        <v>8</v>
      </c>
      <c r="E48">
        <f>IF(COUNTBLANK(RawData[[#This Row],[FTE undergrad enrollment change at public 2-yrs (%), 2019 to 2023]])=0,_xlfn.RANK.AVG(RawData[[#This Row],[FTE undergrad enrollment change at public 2-yrs (%), 2019 to 2023]],RawData[FTE undergrad enrollment change at public 2-yrs (%), 2019 to 2023],1),"")</f>
        <v>5</v>
      </c>
      <c r="F48">
        <f>IF(COUNTBLANK(RawData[[#This Row],[3-year Graduation rate, public 2-yrs (3 yr rolling avg)]])=0,_xlfn.RANK.AVG(RawData[[#This Row],[3-year Graduation rate, public 2-yrs (3 yr rolling avg)]],RawData[3-year Graduation rate, public 2-yrs (3 yr rolling avg)],1),"")</f>
        <v>36</v>
      </c>
      <c r="G48">
        <f>IF(COUNTBLANK(RawData[[#This Row],[Retention rate (Full-time), public 2-yrs (3 yr rolling avg)]])=0,_xlfn.RANK.AVG(RawData[[#This Row],[Retention rate (Full-time), public 2-yrs (3 yr rolling avg)]],RawData[Retention rate (Full-time), public 2-yrs (3 yr rolling avg)],1),"")</f>
        <v>33</v>
      </c>
      <c r="H48">
        <f>IF(COUNTBLANK(RawData[[#This Row],[Retention rate (Part-time), public 2-yrs (3 yr rolling avg)]])=0,_xlfn.RANK.AVG(RawData[[#This Row],[Retention rate (Part-time), public 2-yrs (3 yr rolling avg)]],RawData[Retention rate (Part-time), public 2-yrs (3 yr rolling avg)],1),"")</f>
        <v>33</v>
      </c>
      <c r="I48" s="31"/>
      <c r="J48">
        <f t="shared" si="2"/>
        <v>45</v>
      </c>
      <c r="K48">
        <f t="shared" si="3"/>
        <v>16</v>
      </c>
      <c r="L48" s="31"/>
      <c r="M48">
        <f t="shared" si="4"/>
        <v>30.5</v>
      </c>
      <c r="N48">
        <f t="shared" si="5"/>
        <v>12</v>
      </c>
      <c r="O48" s="31"/>
      <c r="P48">
        <f>IF(A48='State Detail'!BM$7,1,0)</f>
        <v>0</v>
      </c>
      <c r="Q48" s="24" t="e">
        <f t="shared" si="0"/>
        <v>#N/A</v>
      </c>
      <c r="R48" s="24" t="e">
        <f t="shared" si="1"/>
        <v>#N/A</v>
      </c>
      <c r="S48" s="31"/>
      <c r="T48">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7</v>
      </c>
      <c r="U48">
        <f>IF(COUNTBLANK(RawData[[#This Row],[3 Year Average Grad Rate, 150% of normal time, 4 year publics]])=0,_xlfn.RANK.AVG(RawData[[#This Row],[3 Year Average Grad Rate, 150% of normal time, 4 year publics]],RawData[3 Year Average Grad Rate, 150% of normal time, 4 year publics],1),"")</f>
        <v>39</v>
      </c>
      <c r="V48">
        <f>IF(COUNTBLANK(RawData[[#This Row],[3 Year Average full-time retention rate, 4 year publics]])=0,_xlfn.RANK.AVG(RawData[[#This Row],[3 Year Average full-time retention rate, 4 year publics]],RawData[3 Year Average full-time retention rate, 4 year publics],1),"")</f>
        <v>40</v>
      </c>
      <c r="W48">
        <f>IF(COUNTBLANK(RawData[[#This Row],[3 Year Average part-time retention rate, 4 year publics]])=0,_xlfn.RANK.AVG(RawData[[#This Row],[3 Year Average part-time retention rate, 4 year publics]],RawData[3 Year Average part-time retention rate, 4 year publics],1),"")</f>
        <v>43</v>
      </c>
    </row>
    <row r="49" spans="1:23" x14ac:dyDescent="0.35">
      <c r="A49" s="29" t="s">
        <v>170</v>
      </c>
      <c r="B49" s="30" t="s">
        <v>171</v>
      </c>
      <c r="C49" s="30">
        <f>IF(COUNTBLANK(RawData[[#This Row],[FTE undergrad enrollment at public 2-yrs, 2019]])=0,_xlfn.RANK.AVG(RawData[[#This Row],[FTE undergrad enrollment at public 2-yrs, 2019]],RawData[FTE undergrad enrollment at public 2-yrs, 2019],0),"")</f>
        <v>40</v>
      </c>
      <c r="D49" s="30">
        <f>IF(COUNTBLANK(RawData[[#This Row],[FTE undergrad enrollment at public 2-yrs, 2023]])=0,_xlfn.RANK.AVG(RawData[[#This Row],[FTE undergrad enrollment at public 2-yrs, 2023]],RawData[FTE undergrad enrollment at public 2-yrs, 2023],0),"")</f>
        <v>40</v>
      </c>
      <c r="E49">
        <f>IF(COUNTBLANK(RawData[[#This Row],[FTE undergrad enrollment change at public 2-yrs (%), 2019 to 2023]])=0,_xlfn.RANK.AVG(RawData[[#This Row],[FTE undergrad enrollment change at public 2-yrs (%), 2019 to 2023]],RawData[FTE undergrad enrollment change at public 2-yrs (%), 2019 to 2023],1),"")</f>
        <v>15</v>
      </c>
      <c r="F49">
        <f>IF(COUNTBLANK(RawData[[#This Row],[3-year Graduation rate, public 2-yrs (3 yr rolling avg)]])=0,_xlfn.RANK.AVG(RawData[[#This Row],[3-year Graduation rate, public 2-yrs (3 yr rolling avg)]],RawData[3-year Graduation rate, public 2-yrs (3 yr rolling avg)],1),"")</f>
        <v>25</v>
      </c>
      <c r="G49">
        <f>IF(COUNTBLANK(RawData[[#This Row],[Retention rate (Full-time), public 2-yrs (3 yr rolling avg)]])=0,_xlfn.RANK.AVG(RawData[[#This Row],[Retention rate (Full-time), public 2-yrs (3 yr rolling avg)]],RawData[Retention rate (Full-time), public 2-yrs (3 yr rolling avg)],1),"")</f>
        <v>5</v>
      </c>
      <c r="H49">
        <f>IF(COUNTBLANK(RawData[[#This Row],[Retention rate (Part-time), public 2-yrs (3 yr rolling avg)]])=0,_xlfn.RANK.AVG(RawData[[#This Row],[Retention rate (Part-time), public 2-yrs (3 yr rolling avg)]],RawData[Retention rate (Part-time), public 2-yrs (3 yr rolling avg)],1),"")</f>
        <v>17</v>
      </c>
      <c r="I49" s="31"/>
      <c r="J49">
        <f t="shared" si="2"/>
        <v>35</v>
      </c>
      <c r="K49">
        <f t="shared" si="3"/>
        <v>34.333333333333336</v>
      </c>
      <c r="L49" s="31"/>
      <c r="M49">
        <f t="shared" si="4"/>
        <v>34.666666666666671</v>
      </c>
      <c r="N49">
        <f t="shared" si="5"/>
        <v>9</v>
      </c>
      <c r="O49" s="31"/>
      <c r="P49">
        <f>IF(A49='State Detail'!BM$7,1,0)</f>
        <v>0</v>
      </c>
      <c r="Q49" s="24" t="e">
        <f t="shared" si="0"/>
        <v>#N/A</v>
      </c>
      <c r="R49" s="24" t="e">
        <f t="shared" si="1"/>
        <v>#N/A</v>
      </c>
      <c r="S49" s="31"/>
      <c r="T49">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8</v>
      </c>
      <c r="U49">
        <f>IF(COUNTBLANK(RawData[[#This Row],[3 Year Average Grad Rate, 150% of normal time, 4 year publics]])=0,_xlfn.RANK.AVG(RawData[[#This Row],[3 Year Average Grad Rate, 150% of normal time, 4 year publics]],RawData[3 Year Average Grad Rate, 150% of normal time, 4 year publics],1),"")</f>
        <v>8.5</v>
      </c>
      <c r="V49">
        <f>IF(COUNTBLANK(RawData[[#This Row],[3 Year Average full-time retention rate, 4 year publics]])=0,_xlfn.RANK.AVG(RawData[[#This Row],[3 Year Average full-time retention rate, 4 year publics]],RawData[3 Year Average full-time retention rate, 4 year publics],1),"")</f>
        <v>8</v>
      </c>
      <c r="W49">
        <f>IF(COUNTBLANK(RawData[[#This Row],[3 Year Average part-time retention rate, 4 year publics]])=0,_xlfn.RANK.AVG(RawData[[#This Row],[3 Year Average part-time retention rate, 4 year publics]],RawData[3 Year Average part-time retention rate, 4 year publics],1),"")</f>
        <v>3</v>
      </c>
    </row>
    <row r="50" spans="1:23" x14ac:dyDescent="0.35">
      <c r="A50" s="29" t="s">
        <v>173</v>
      </c>
      <c r="B50" s="30" t="s">
        <v>174</v>
      </c>
      <c r="C50" s="30">
        <f>IF(COUNTBLANK(RawData[[#This Row],[FTE undergrad enrollment at public 2-yrs, 2019]])=0,_xlfn.RANK.AVG(RawData[[#This Row],[FTE undergrad enrollment at public 2-yrs, 2019]],RawData[FTE undergrad enrollment at public 2-yrs, 2019],0),"")</f>
        <v>25</v>
      </c>
      <c r="D50" s="30">
        <f>IF(COUNTBLANK(RawData[[#This Row],[FTE undergrad enrollment at public 2-yrs, 2023]])=0,_xlfn.RANK.AVG(RawData[[#This Row],[FTE undergrad enrollment at public 2-yrs, 2023]],RawData[FTE undergrad enrollment at public 2-yrs, 2023],0),"")</f>
        <v>22</v>
      </c>
      <c r="E50">
        <f>IF(COUNTBLANK(RawData[[#This Row],[FTE undergrad enrollment change at public 2-yrs (%), 2019 to 2023]])=0,_xlfn.RANK.AVG(RawData[[#This Row],[FTE undergrad enrollment change at public 2-yrs (%), 2019 to 2023]],RawData[FTE undergrad enrollment change at public 2-yrs (%), 2019 to 2023],1),"")</f>
        <v>35</v>
      </c>
      <c r="F50">
        <f>IF(COUNTBLANK(RawData[[#This Row],[3-year Graduation rate, public 2-yrs (3 yr rolling avg)]])=0,_xlfn.RANK.AVG(RawData[[#This Row],[3-year Graduation rate, public 2-yrs (3 yr rolling avg)]],RawData[3-year Graduation rate, public 2-yrs (3 yr rolling avg)],1),"")</f>
        <v>43</v>
      </c>
      <c r="G50">
        <f>IF(COUNTBLANK(RawData[[#This Row],[Retention rate (Full-time), public 2-yrs (3 yr rolling avg)]])=0,_xlfn.RANK.AVG(RawData[[#This Row],[Retention rate (Full-time), public 2-yrs (3 yr rolling avg)]],RawData[Retention rate (Full-time), public 2-yrs (3 yr rolling avg)],1),"")</f>
        <v>43</v>
      </c>
      <c r="H50">
        <f>IF(COUNTBLANK(RawData[[#This Row],[Retention rate (Part-time), public 2-yrs (3 yr rolling avg)]])=0,_xlfn.RANK.AVG(RawData[[#This Row],[Retention rate (Part-time), public 2-yrs (3 yr rolling avg)]],RawData[Retention rate (Part-time), public 2-yrs (3 yr rolling avg)],1),"")</f>
        <v>47</v>
      </c>
      <c r="I50" s="31"/>
      <c r="J50">
        <f t="shared" si="2"/>
        <v>15</v>
      </c>
      <c r="K50">
        <f t="shared" si="3"/>
        <v>5.6666666666666643</v>
      </c>
      <c r="L50" s="31"/>
      <c r="M50">
        <f t="shared" si="4"/>
        <v>10.333333333333332</v>
      </c>
      <c r="N50">
        <f t="shared" si="5"/>
        <v>47</v>
      </c>
      <c r="O50" s="31"/>
      <c r="P50">
        <f>IF(A50='State Detail'!BM$7,1,0)</f>
        <v>0</v>
      </c>
      <c r="Q50" s="24" t="e">
        <f t="shared" si="0"/>
        <v>#N/A</v>
      </c>
      <c r="R50" s="24" t="e">
        <f t="shared" si="1"/>
        <v>#N/A</v>
      </c>
      <c r="S50" s="31"/>
      <c r="T50">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21</v>
      </c>
      <c r="U50">
        <f>IF(COUNTBLANK(RawData[[#This Row],[3 Year Average Grad Rate, 150% of normal time, 4 year publics]])=0,_xlfn.RANK.AVG(RawData[[#This Row],[3 Year Average Grad Rate, 150% of normal time, 4 year publics]],RawData[3 Year Average Grad Rate, 150% of normal time, 4 year publics],1),"")</f>
        <v>36</v>
      </c>
      <c r="V50">
        <f>IF(COUNTBLANK(RawData[[#This Row],[3 Year Average full-time retention rate, 4 year publics]])=0,_xlfn.RANK.AVG(RawData[[#This Row],[3 Year Average full-time retention rate, 4 year publics]],RawData[3 Year Average full-time retention rate, 4 year publics],1),"")</f>
        <v>34</v>
      </c>
      <c r="W50">
        <f>IF(COUNTBLANK(RawData[[#This Row],[3 Year Average part-time retention rate, 4 year publics]])=0,_xlfn.RANK.AVG(RawData[[#This Row],[3 Year Average part-time retention rate, 4 year publics]],RawData[3 Year Average part-time retention rate, 4 year publics],1),"")</f>
        <v>22</v>
      </c>
    </row>
    <row r="51" spans="1:23" x14ac:dyDescent="0.35">
      <c r="A51" s="29" t="s">
        <v>175</v>
      </c>
      <c r="B51" s="30" t="s">
        <v>176</v>
      </c>
      <c r="C51" s="30">
        <f>IF(COUNTBLANK(RawData[[#This Row],[FTE undergrad enrollment at public 2-yrs, 2019]])=0,_xlfn.RANK.AVG(RawData[[#This Row],[FTE undergrad enrollment at public 2-yrs, 2019]],RawData[FTE undergrad enrollment at public 2-yrs, 2019],0),"")</f>
        <v>41</v>
      </c>
      <c r="D51" s="30">
        <f>IF(COUNTBLANK(RawData[[#This Row],[FTE undergrad enrollment at public 2-yrs, 2023]])=0,_xlfn.RANK.AVG(RawData[[#This Row],[FTE undergrad enrollment at public 2-yrs, 2023]],RawData[FTE undergrad enrollment at public 2-yrs, 2023],0),"")</f>
        <v>41</v>
      </c>
      <c r="E51">
        <f>IF(COUNTBLANK(RawData[[#This Row],[FTE undergrad enrollment change at public 2-yrs (%), 2019 to 2023]])=0,_xlfn.RANK.AVG(RawData[[#This Row],[FTE undergrad enrollment change at public 2-yrs (%), 2019 to 2023]],RawData[FTE undergrad enrollment change at public 2-yrs (%), 2019 to 2023],1),"")</f>
        <v>30</v>
      </c>
      <c r="F51">
        <f>IF(COUNTBLANK(RawData[[#This Row],[3-year Graduation rate, public 2-yrs (3 yr rolling avg)]])=0,_xlfn.RANK.AVG(RawData[[#This Row],[3-year Graduation rate, public 2-yrs (3 yr rolling avg)]],RawData[3-year Graduation rate, public 2-yrs (3 yr rolling avg)],1),"")</f>
        <v>39</v>
      </c>
      <c r="G51">
        <f>IF(COUNTBLANK(RawData[[#This Row],[Retention rate (Full-time), public 2-yrs (3 yr rolling avg)]])=0,_xlfn.RANK.AVG(RawData[[#This Row],[Retention rate (Full-time), public 2-yrs (3 yr rolling avg)]],RawData[Retention rate (Full-time), public 2-yrs (3 yr rolling avg)],1),"")</f>
        <v>32</v>
      </c>
      <c r="H51">
        <f>IF(COUNTBLANK(RawData[[#This Row],[Retention rate (Part-time), public 2-yrs (3 yr rolling avg)]])=0,_xlfn.RANK.AVG(RawData[[#This Row],[Retention rate (Part-time), public 2-yrs (3 yr rolling avg)]],RawData[Retention rate (Part-time), public 2-yrs (3 yr rolling avg)],1),"")</f>
        <v>3</v>
      </c>
      <c r="I51" s="31"/>
      <c r="J51">
        <f t="shared" si="2"/>
        <v>20</v>
      </c>
      <c r="K51">
        <f t="shared" si="3"/>
        <v>25.333333333333332</v>
      </c>
      <c r="L51" s="31"/>
      <c r="M51">
        <f t="shared" si="4"/>
        <v>22.666666666666664</v>
      </c>
      <c r="N51">
        <f t="shared" si="5"/>
        <v>32</v>
      </c>
      <c r="O51" s="31"/>
      <c r="P51">
        <f>IF(A51='State Detail'!BM$7,1,0)</f>
        <v>0</v>
      </c>
      <c r="Q51" s="24" t="e">
        <f t="shared" si="0"/>
        <v>#N/A</v>
      </c>
      <c r="R51" s="24" t="e">
        <f t="shared" si="1"/>
        <v>#N/A</v>
      </c>
      <c r="S51" s="31"/>
      <c r="T51">
        <f>IF(COUNTBLANK(RawData[[#This Row],[5 Year Percent Change in FTE Undergraduate Enrollment at public 4 years (2019-2023)]])=0,_xlfn.RANK.AVG(RawData[[#This Row],[5 Year Percent Change in FTE Undergraduate Enrollment at public 4 years (2019-2023)]],RawData[5 Year Percent Change in FTE Undergraduate Enrollment at public 4 years (2019-2023)],1),"")</f>
        <v>2.5</v>
      </c>
      <c r="U51">
        <f>IF(COUNTBLANK(RawData[[#This Row],[3 Year Average Grad Rate, 150% of normal time, 4 year publics]])=0,_xlfn.RANK.AVG(RawData[[#This Row],[3 Year Average Grad Rate, 150% of normal time, 4 year publics]],RawData[3 Year Average Grad Rate, 150% of normal time, 4 year publics],1),"")</f>
        <v>22.5</v>
      </c>
      <c r="V51">
        <f>IF(COUNTBLANK(RawData[[#This Row],[3 Year Average full-time retention rate, 4 year publics]])=0,_xlfn.RANK.AVG(RawData[[#This Row],[3 Year Average full-time retention rate, 4 year publics]],RawData[3 Year Average full-time retention rate, 4 year publics],1),"")</f>
        <v>15.5</v>
      </c>
      <c r="W51">
        <f>IF(COUNTBLANK(RawData[[#This Row],[3 Year Average part-time retention rate, 4 year publics]])=0,_xlfn.RANK.AVG(RawData[[#This Row],[3 Year Average part-time retention rate, 4 year publics]],RawData[3 Year Average part-time retention rate, 4 year publics],1),"")</f>
        <v>9</v>
      </c>
    </row>
    <row r="53" spans="1:23" x14ac:dyDescent="0.35">
      <c r="A53" t="s">
        <v>177</v>
      </c>
      <c r="E53" s="32">
        <f>AVERAGE(E2:E51)</f>
        <v>25</v>
      </c>
      <c r="F53" s="32">
        <f>AVERAGE(F2:F51)</f>
        <v>25</v>
      </c>
      <c r="G53" s="32">
        <f>AVERAGE(G2:G51)</f>
        <v>24.5</v>
      </c>
      <c r="H53" s="32">
        <f t="shared" ref="H53" si="6">AVERAGE(H2:H51)</f>
        <v>24.5</v>
      </c>
      <c r="I53" s="33"/>
      <c r="J53" s="32">
        <f>AVERAGE(J2:J51)</f>
        <v>25</v>
      </c>
      <c r="K53" s="32">
        <f>AVERAGE(K2:K51)</f>
        <v>25.625850340136051</v>
      </c>
      <c r="L53" s="33"/>
      <c r="M53" s="32">
        <f>AVERAGE(M2:M51)</f>
        <v>25.312925170068027</v>
      </c>
      <c r="N53" s="32">
        <f>AVERAGE(N2:N51)</f>
        <v>24.857142857142858</v>
      </c>
      <c r="O53" s="33"/>
      <c r="S53" s="33"/>
      <c r="T53" s="32">
        <f>AVERAGE(T2:T51)</f>
        <v>25.5</v>
      </c>
      <c r="U53" s="32">
        <f>AVERAGE(U2:U51)</f>
        <v>25.5</v>
      </c>
      <c r="V53" s="32">
        <f>AVERAGE(V2:V51)</f>
        <v>25.5</v>
      </c>
      <c r="W53" s="32">
        <f t="shared" ref="W53" si="7">AVERAGE(W2:W51)</f>
        <v>25.5</v>
      </c>
    </row>
    <row r="54" spans="1:23" x14ac:dyDescent="0.35">
      <c r="A54" t="s">
        <v>178</v>
      </c>
      <c r="E54" s="32">
        <f>_xlfn.STDEV.P(E2:E51)</f>
        <v>14.142135623730951</v>
      </c>
      <c r="F54" s="32">
        <f>_xlfn.STDEV.P(F2:F51)</f>
        <v>14.142135623730951</v>
      </c>
      <c r="G54" s="32">
        <f>_xlfn.STDEV.P(G2:G51)</f>
        <v>13.853399101544236</v>
      </c>
      <c r="H54" s="32">
        <f t="shared" ref="H54" si="8">_xlfn.STDEV.P(H2:H51)</f>
        <v>13.853399101544236</v>
      </c>
      <c r="I54" s="33"/>
      <c r="J54" s="32">
        <f>_xlfn.STDEV.P(J2:J51)</f>
        <v>14.142135623730951</v>
      </c>
      <c r="K54" s="32">
        <f>_xlfn.STDEV.P(K2:K51)</f>
        <v>10.609676123780828</v>
      </c>
      <c r="L54" s="33"/>
      <c r="M54" s="32">
        <f>_xlfn.STDEV.P(M2:M51)</f>
        <v>9.1202369392942835</v>
      </c>
      <c r="N54" s="32">
        <f>_xlfn.STDEV.P(N2:N51)</f>
        <v>14.149349159330724</v>
      </c>
      <c r="O54" s="33"/>
      <c r="S54" s="33"/>
      <c r="T54" s="32">
        <f>_xlfn.STDEV.P(T2:T51)</f>
        <v>14.428790663115187</v>
      </c>
      <c r="U54" s="32">
        <f>_xlfn.STDEV.P(U2:U51)</f>
        <v>14.427751037497147</v>
      </c>
      <c r="V54" s="32">
        <f>_xlfn.STDEV.P(V2:V51)</f>
        <v>14.426711336961032</v>
      </c>
      <c r="W54" s="32">
        <f t="shared" ref="W54" si="9">_xlfn.STDEV.P(W2:W51)</f>
        <v>14.430523206037957</v>
      </c>
    </row>
    <row r="56" spans="1:23" x14ac:dyDescent="0.35">
      <c r="J56">
        <f>MIN(J2:J51)</f>
        <v>1</v>
      </c>
      <c r="K56">
        <f>MIN(K2:K51)</f>
        <v>1.6666666666666643</v>
      </c>
    </row>
    <row r="57" spans="1:23" x14ac:dyDescent="0.35">
      <c r="J57">
        <f>MAX(J2:J51)</f>
        <v>49</v>
      </c>
      <c r="K57">
        <f>MAX(K2:K51)</f>
        <v>47</v>
      </c>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455B8-A381-4410-9593-89CEA6E03195}">
  <dimension ref="A1:Q57"/>
  <sheetViews>
    <sheetView workbookViewId="0">
      <selection activeCell="Q2" sqref="Q2"/>
    </sheetView>
  </sheetViews>
  <sheetFormatPr defaultRowHeight="14.5" x14ac:dyDescent="0.35"/>
  <cols>
    <col min="5" max="5" width="8.90625" style="34"/>
    <col min="6" max="6" width="16.81640625" customWidth="1"/>
    <col min="7" max="7" width="17.6328125" customWidth="1"/>
    <col min="8" max="8" width="8.90625" style="34"/>
    <col min="11" max="11" width="8.90625" style="34"/>
    <col min="15" max="15" width="8.90625" style="34"/>
  </cols>
  <sheetData>
    <row r="1" spans="1:17" s="28" customFormat="1" ht="130.5" x14ac:dyDescent="0.35">
      <c r="A1" s="25" t="s">
        <v>20</v>
      </c>
      <c r="B1" s="25" t="s">
        <v>22</v>
      </c>
      <c r="C1" s="35" t="s">
        <v>210</v>
      </c>
      <c r="D1" s="20" t="s">
        <v>211</v>
      </c>
      <c r="E1" s="27" t="s">
        <v>183</v>
      </c>
      <c r="F1" s="20" t="s">
        <v>199</v>
      </c>
      <c r="G1" s="20" t="s">
        <v>200</v>
      </c>
      <c r="H1" s="27" t="s">
        <v>183</v>
      </c>
      <c r="I1" s="20" t="s">
        <v>201</v>
      </c>
      <c r="J1" s="20" t="s">
        <v>190</v>
      </c>
      <c r="K1" s="27" t="s">
        <v>183</v>
      </c>
      <c r="L1" s="20" t="s">
        <v>187</v>
      </c>
      <c r="M1" s="20" t="s">
        <v>188</v>
      </c>
      <c r="N1" s="20" t="s">
        <v>189</v>
      </c>
      <c r="O1" s="27" t="s">
        <v>183</v>
      </c>
      <c r="P1" s="35" t="s">
        <v>681</v>
      </c>
      <c r="Q1" s="20" t="s">
        <v>682</v>
      </c>
    </row>
    <row r="2" spans="1:17" x14ac:dyDescent="0.35">
      <c r="A2" s="29" t="s">
        <v>50</v>
      </c>
      <c r="B2" s="30" t="s">
        <v>51</v>
      </c>
      <c r="C2">
        <f>_xlfn.RANK.AVG(RawData[[#This Row],[Opportunity for continued engagement]],RawData[Opportunity for continued engagement],0)</f>
        <v>30.5</v>
      </c>
      <c r="D2">
        <f>_xlfn.RANK.AVG(RawData[[#This Row],[Opportunity to leverage existing policies and initiatives]],RawData[Opportunity to leverage existing policies and initiatives],0)</f>
        <v>44.5</v>
      </c>
      <c r="E2" s="31"/>
      <c r="F2">
        <f>50-(C2)</f>
        <v>19.5</v>
      </c>
      <c r="G2">
        <f>50-(D2)</f>
        <v>5.5</v>
      </c>
      <c r="H2" s="31"/>
      <c r="I2">
        <f>AVERAGE(F2:G2)</f>
        <v>12.5</v>
      </c>
      <c r="J2">
        <f>RANK(I2,I$2:I$51,0)</f>
        <v>43</v>
      </c>
      <c r="K2" s="31"/>
      <c r="L2">
        <f>IF(A2='State Detail'!BM$7,1,0)</f>
        <v>0</v>
      </c>
      <c r="M2" s="24" t="e">
        <f>IF(L2=1,F2,NA())</f>
        <v>#N/A</v>
      </c>
      <c r="N2" s="24" t="e">
        <f>IF(L2=1,G2,NA())</f>
        <v>#N/A</v>
      </c>
      <c r="O2" s="31"/>
      <c r="P2">
        <f>_xlfn.RANK.AVG(RawData[[#This Row],[PBF]],RawData[PBF],0)</f>
        <v>16</v>
      </c>
      <c r="Q2">
        <f>_xlfn.RANK.AVG(RawData[[#This Row],[PBF as a % of Total Public Operating]],RawData[PBF as a % of Total Public Operating],0)</f>
        <v>19.5</v>
      </c>
    </row>
    <row r="3" spans="1:17" x14ac:dyDescent="0.35">
      <c r="A3" s="29" t="s">
        <v>54</v>
      </c>
      <c r="B3" s="30" t="s">
        <v>55</v>
      </c>
      <c r="C3">
        <f>_xlfn.RANK.AVG(RawData[[#This Row],[Opportunity for continued engagement]],RawData[Opportunity for continued engagement],0)</f>
        <v>30.5</v>
      </c>
      <c r="D3">
        <f>_xlfn.RANK.AVG(RawData[[#This Row],[Opportunity to leverage existing policies and initiatives]],RawData[Opportunity to leverage existing policies and initiatives],0)</f>
        <v>50</v>
      </c>
      <c r="E3" s="31"/>
      <c r="F3">
        <f t="shared" ref="F3:G51" si="0">50-(C3)</f>
        <v>19.5</v>
      </c>
      <c r="G3">
        <f t="shared" si="0"/>
        <v>0</v>
      </c>
      <c r="H3" s="31"/>
      <c r="I3">
        <f t="shared" ref="I3:I51" si="1">AVERAGE(F3:G3)</f>
        <v>9.75</v>
      </c>
      <c r="J3">
        <f t="shared" ref="J3:J51" si="2">RANK(I3,I$2:I$51,0)</f>
        <v>50</v>
      </c>
      <c r="K3" s="31"/>
      <c r="L3">
        <f>IF(A3='State Detail'!BM$7,1,0)</f>
        <v>0</v>
      </c>
      <c r="M3" s="24" t="e">
        <f t="shared" ref="M3:M51" si="3">IF(L3=1,F3,NA())</f>
        <v>#N/A</v>
      </c>
      <c r="N3" s="24" t="e">
        <f t="shared" ref="N3:N51" si="4">IF(L3=1,G3,NA())</f>
        <v>#N/A</v>
      </c>
      <c r="O3" s="31"/>
      <c r="P3">
        <f>_xlfn.RANK.AVG(RawData[[#This Row],[PBF]],RawData[PBF],0)</f>
        <v>40</v>
      </c>
      <c r="Q3">
        <f>_xlfn.RANK.AVG(RawData[[#This Row],[PBF as a % of Total Public Operating]],RawData[PBF as a % of Total Public Operating],0)</f>
        <v>39.5</v>
      </c>
    </row>
    <row r="4" spans="1:17" x14ac:dyDescent="0.35">
      <c r="A4" s="29" t="s">
        <v>56</v>
      </c>
      <c r="B4" s="30" t="s">
        <v>57</v>
      </c>
      <c r="C4">
        <f>_xlfn.RANK.AVG(RawData[[#This Row],[Opportunity for continued engagement]],RawData[Opportunity for continued engagement],0)</f>
        <v>30.5</v>
      </c>
      <c r="D4">
        <f>_xlfn.RANK.AVG(RawData[[#This Row],[Opportunity to leverage existing policies and initiatives]],RawData[Opportunity to leverage existing policies and initiatives],0)</f>
        <v>44.5</v>
      </c>
      <c r="E4" s="31"/>
      <c r="F4">
        <f t="shared" si="0"/>
        <v>19.5</v>
      </c>
      <c r="G4">
        <f t="shared" si="0"/>
        <v>5.5</v>
      </c>
      <c r="H4" s="31"/>
      <c r="I4">
        <f t="shared" si="1"/>
        <v>12.5</v>
      </c>
      <c r="J4">
        <f t="shared" si="2"/>
        <v>43</v>
      </c>
      <c r="K4" s="31"/>
      <c r="L4">
        <f>IF(A4='State Detail'!BM$7,1,0)</f>
        <v>0</v>
      </c>
      <c r="M4" s="24" t="e">
        <f t="shared" si="3"/>
        <v>#N/A</v>
      </c>
      <c r="N4" s="24" t="e">
        <f t="shared" si="4"/>
        <v>#N/A</v>
      </c>
      <c r="O4" s="31"/>
      <c r="P4">
        <f>_xlfn.RANK.AVG(RawData[[#This Row],[PBF]],RawData[PBF],0)</f>
        <v>40</v>
      </c>
      <c r="Q4">
        <f>_xlfn.RANK.AVG(RawData[[#This Row],[PBF as a % of Total Public Operating]],RawData[PBF as a % of Total Public Operating],0)</f>
        <v>39.5</v>
      </c>
    </row>
    <row r="5" spans="1:17" x14ac:dyDescent="0.35">
      <c r="A5" s="29" t="s">
        <v>61</v>
      </c>
      <c r="B5" s="30" t="s">
        <v>62</v>
      </c>
      <c r="C5">
        <f>_xlfn.RANK.AVG(RawData[[#This Row],[Opportunity for continued engagement]],RawData[Opportunity for continued engagement],0)</f>
        <v>30.5</v>
      </c>
      <c r="D5">
        <f>_xlfn.RANK.AVG(RawData[[#This Row],[Opportunity to leverage existing policies and initiatives]],RawData[Opportunity to leverage existing policies and initiatives],0)</f>
        <v>5</v>
      </c>
      <c r="E5" s="31"/>
      <c r="F5">
        <f t="shared" si="0"/>
        <v>19.5</v>
      </c>
      <c r="G5">
        <f t="shared" si="0"/>
        <v>45</v>
      </c>
      <c r="H5" s="31"/>
      <c r="I5">
        <f>AVERAGE(F5:G5)</f>
        <v>32.25</v>
      </c>
      <c r="J5">
        <f t="shared" si="2"/>
        <v>9</v>
      </c>
      <c r="K5" s="31"/>
      <c r="L5">
        <f>IF(A5='State Detail'!BM$7,1,0)</f>
        <v>0</v>
      </c>
      <c r="M5" s="24" t="e">
        <f t="shared" si="3"/>
        <v>#N/A</v>
      </c>
      <c r="N5" s="24" t="e">
        <f t="shared" si="4"/>
        <v>#N/A</v>
      </c>
      <c r="O5" s="31"/>
      <c r="P5">
        <f>_xlfn.RANK.AVG(RawData[[#This Row],[PBF]],RawData[PBF],0)</f>
        <v>27</v>
      </c>
      <c r="Q5">
        <f>_xlfn.RANK.AVG(RawData[[#This Row],[PBF as a % of Total Public Operating]],RawData[PBF as a % of Total Public Operating],0)</f>
        <v>25</v>
      </c>
    </row>
    <row r="6" spans="1:17" x14ac:dyDescent="0.35">
      <c r="A6" s="29" t="s">
        <v>2</v>
      </c>
      <c r="B6" s="30" t="s">
        <v>63</v>
      </c>
      <c r="C6">
        <f>_xlfn.RANK.AVG(RawData[[#This Row],[Opportunity for continued engagement]],RawData[Opportunity for continued engagement],0)</f>
        <v>6</v>
      </c>
      <c r="D6">
        <f>_xlfn.RANK.AVG(RawData[[#This Row],[Opportunity to leverage existing policies and initiatives]],RawData[Opportunity to leverage existing policies and initiatives],0)</f>
        <v>26</v>
      </c>
      <c r="E6" s="31"/>
      <c r="F6">
        <f t="shared" si="0"/>
        <v>44</v>
      </c>
      <c r="G6">
        <f t="shared" si="0"/>
        <v>24</v>
      </c>
      <c r="H6" s="31"/>
      <c r="I6">
        <f t="shared" si="1"/>
        <v>34</v>
      </c>
      <c r="J6">
        <f t="shared" si="2"/>
        <v>7</v>
      </c>
      <c r="K6" s="31"/>
      <c r="L6">
        <f>IF(A6='State Detail'!BM$7,1,0)</f>
        <v>0</v>
      </c>
      <c r="M6" s="24" t="e">
        <f t="shared" si="3"/>
        <v>#N/A</v>
      </c>
      <c r="N6" s="24" t="e">
        <f t="shared" si="4"/>
        <v>#N/A</v>
      </c>
      <c r="O6" s="31"/>
      <c r="P6">
        <f>_xlfn.RANK.AVG(RawData[[#This Row],[PBF]],RawData[PBF],0)</f>
        <v>7</v>
      </c>
      <c r="Q6">
        <f>_xlfn.RANK.AVG(RawData[[#This Row],[PBF as a % of Total Public Operating]],RawData[PBF as a % of Total Public Operating],0)</f>
        <v>17</v>
      </c>
    </row>
    <row r="7" spans="1:17" x14ac:dyDescent="0.35">
      <c r="A7" s="29" t="s">
        <v>67</v>
      </c>
      <c r="B7" s="30" t="s">
        <v>68</v>
      </c>
      <c r="C7">
        <f>_xlfn.RANK.AVG(RawData[[#This Row],[Opportunity for continued engagement]],RawData[Opportunity for continued engagement],0)</f>
        <v>6</v>
      </c>
      <c r="D7">
        <f>_xlfn.RANK.AVG(RawData[[#This Row],[Opportunity to leverage existing policies and initiatives]],RawData[Opportunity to leverage existing policies and initiatives],0)</f>
        <v>5</v>
      </c>
      <c r="E7" s="31"/>
      <c r="F7">
        <f t="shared" si="0"/>
        <v>44</v>
      </c>
      <c r="G7">
        <f t="shared" si="0"/>
        <v>45</v>
      </c>
      <c r="H7" s="31"/>
      <c r="I7">
        <f t="shared" si="1"/>
        <v>44.5</v>
      </c>
      <c r="J7">
        <f t="shared" si="2"/>
        <v>1</v>
      </c>
      <c r="K7" s="31"/>
      <c r="L7">
        <f>IF(A7='State Detail'!BM$7,1,0)</f>
        <v>0</v>
      </c>
      <c r="M7" s="24" t="e">
        <f t="shared" si="3"/>
        <v>#N/A</v>
      </c>
      <c r="N7" s="24" t="e">
        <f t="shared" si="4"/>
        <v>#N/A</v>
      </c>
      <c r="O7" s="31"/>
      <c r="P7">
        <f>_xlfn.RANK.AVG(RawData[[#This Row],[PBF]],RawData[PBF],0)</f>
        <v>4</v>
      </c>
      <c r="Q7">
        <f>_xlfn.RANK.AVG(RawData[[#This Row],[PBF as a % of Total Public Operating]],RawData[PBF as a % of Total Public Operating],0)</f>
        <v>5</v>
      </c>
    </row>
    <row r="8" spans="1:17" x14ac:dyDescent="0.35">
      <c r="A8" s="29" t="s">
        <v>71</v>
      </c>
      <c r="B8" s="30" t="s">
        <v>72</v>
      </c>
      <c r="C8">
        <f>_xlfn.RANK.AVG(RawData[[#This Row],[Opportunity for continued engagement]],RawData[Opportunity for continued engagement],0)</f>
        <v>30.5</v>
      </c>
      <c r="D8">
        <f>_xlfn.RANK.AVG(RawData[[#This Row],[Opportunity to leverage existing policies and initiatives]],RawData[Opportunity to leverage existing policies and initiatives],0)</f>
        <v>36.5</v>
      </c>
      <c r="E8" s="31"/>
      <c r="F8">
        <f t="shared" si="0"/>
        <v>19.5</v>
      </c>
      <c r="G8">
        <f t="shared" si="0"/>
        <v>13.5</v>
      </c>
      <c r="H8" s="31"/>
      <c r="I8">
        <f t="shared" si="1"/>
        <v>16.5</v>
      </c>
      <c r="J8">
        <f t="shared" si="2"/>
        <v>35</v>
      </c>
      <c r="K8" s="31"/>
      <c r="L8">
        <f>IF(A8='State Detail'!BM$7,1,0)</f>
        <v>0</v>
      </c>
      <c r="M8" s="24" t="e">
        <f t="shared" si="3"/>
        <v>#N/A</v>
      </c>
      <c r="N8" s="24" t="e">
        <f t="shared" si="4"/>
        <v>#N/A</v>
      </c>
      <c r="O8" s="31"/>
      <c r="P8">
        <f>_xlfn.RANK.AVG(RawData[[#This Row],[PBF]],RawData[PBF],0)</f>
        <v>40</v>
      </c>
      <c r="Q8">
        <f>_xlfn.RANK.AVG(RawData[[#This Row],[PBF as a % of Total Public Operating]],RawData[PBF as a % of Total Public Operating],0)</f>
        <v>39.5</v>
      </c>
    </row>
    <row r="9" spans="1:17" x14ac:dyDescent="0.35">
      <c r="A9" s="29" t="s">
        <v>73</v>
      </c>
      <c r="B9" s="30" t="s">
        <v>74</v>
      </c>
      <c r="C9">
        <f>_xlfn.RANK.AVG(RawData[[#This Row],[Opportunity for continued engagement]],RawData[Opportunity for continued engagement],0)</f>
        <v>30.5</v>
      </c>
      <c r="D9">
        <f>_xlfn.RANK.AVG(RawData[[#This Row],[Opportunity to leverage existing policies and initiatives]],RawData[Opportunity to leverage existing policies and initiatives],0)</f>
        <v>44.5</v>
      </c>
      <c r="E9" s="31"/>
      <c r="F9">
        <f t="shared" si="0"/>
        <v>19.5</v>
      </c>
      <c r="G9">
        <f t="shared" si="0"/>
        <v>5.5</v>
      </c>
      <c r="H9" s="31"/>
      <c r="I9">
        <f t="shared" si="1"/>
        <v>12.5</v>
      </c>
      <c r="J9">
        <f t="shared" si="2"/>
        <v>43</v>
      </c>
      <c r="K9" s="31"/>
      <c r="L9">
        <f>IF(A9='State Detail'!BM$7,1,0)</f>
        <v>0</v>
      </c>
      <c r="M9" s="24" t="e">
        <f t="shared" si="3"/>
        <v>#N/A</v>
      </c>
      <c r="N9" s="24" t="e">
        <f t="shared" si="4"/>
        <v>#N/A</v>
      </c>
      <c r="O9" s="31"/>
      <c r="P9">
        <f>_xlfn.RANK.AVG(RawData[[#This Row],[PBF]],RawData[PBF],0)</f>
        <v>40</v>
      </c>
      <c r="Q9">
        <f>_xlfn.RANK.AVG(RawData[[#This Row],[PBF as a % of Total Public Operating]],RawData[PBF as a % of Total Public Operating],0)</f>
        <v>39.5</v>
      </c>
    </row>
    <row r="10" spans="1:17" x14ac:dyDescent="0.35">
      <c r="A10" s="29" t="s">
        <v>75</v>
      </c>
      <c r="B10" s="30" t="s">
        <v>76</v>
      </c>
      <c r="C10">
        <f>_xlfn.RANK.AVG(RawData[[#This Row],[Opportunity for continued engagement]],RawData[Opportunity for continued engagement],0)</f>
        <v>30.5</v>
      </c>
      <c r="D10">
        <f>_xlfn.RANK.AVG(RawData[[#This Row],[Opportunity to leverage existing policies and initiatives]],RawData[Opportunity to leverage existing policies and initiatives],0)</f>
        <v>15</v>
      </c>
      <c r="E10" s="31"/>
      <c r="F10">
        <f t="shared" si="0"/>
        <v>19.5</v>
      </c>
      <c r="G10">
        <f t="shared" si="0"/>
        <v>35</v>
      </c>
      <c r="H10" s="31"/>
      <c r="I10">
        <f t="shared" si="1"/>
        <v>27.25</v>
      </c>
      <c r="J10">
        <f t="shared" si="2"/>
        <v>17</v>
      </c>
      <c r="K10" s="31"/>
      <c r="L10">
        <f>IF(A10='State Detail'!BM$7,1,0)</f>
        <v>0</v>
      </c>
      <c r="M10" s="24" t="e">
        <f t="shared" si="3"/>
        <v>#N/A</v>
      </c>
      <c r="N10" s="24" t="e">
        <f t="shared" si="4"/>
        <v>#N/A</v>
      </c>
      <c r="O10" s="31"/>
      <c r="P10">
        <f>_xlfn.RANK.AVG(RawData[[#This Row],[PBF]],RawData[PBF],0)</f>
        <v>8</v>
      </c>
      <c r="Q10">
        <f>_xlfn.RANK.AVG(RawData[[#This Row],[PBF as a % of Total Public Operating]],RawData[PBF as a % of Total Public Operating],0)</f>
        <v>12</v>
      </c>
    </row>
    <row r="11" spans="1:17" x14ac:dyDescent="0.35">
      <c r="A11" s="29" t="s">
        <v>77</v>
      </c>
      <c r="B11" s="30" t="s">
        <v>78</v>
      </c>
      <c r="C11">
        <f>_xlfn.RANK.AVG(RawData[[#This Row],[Opportunity for continued engagement]],RawData[Opportunity for continued engagement],0)</f>
        <v>30.5</v>
      </c>
      <c r="D11">
        <f>_xlfn.RANK.AVG(RawData[[#This Row],[Opportunity to leverage existing policies and initiatives]],RawData[Opportunity to leverage existing policies and initiatives],0)</f>
        <v>26</v>
      </c>
      <c r="E11" s="31"/>
      <c r="F11">
        <f t="shared" si="0"/>
        <v>19.5</v>
      </c>
      <c r="G11">
        <f t="shared" si="0"/>
        <v>24</v>
      </c>
      <c r="H11" s="31"/>
      <c r="I11">
        <f t="shared" si="1"/>
        <v>21.75</v>
      </c>
      <c r="J11">
        <f t="shared" si="2"/>
        <v>25</v>
      </c>
      <c r="K11" s="31"/>
      <c r="L11">
        <f>IF(A11='State Detail'!BM$7,1,0)</f>
        <v>0</v>
      </c>
      <c r="M11" s="24" t="e">
        <f t="shared" si="3"/>
        <v>#N/A</v>
      </c>
      <c r="N11" s="24" t="e">
        <f t="shared" si="4"/>
        <v>#N/A</v>
      </c>
      <c r="O11" s="31"/>
      <c r="P11">
        <f>_xlfn.RANK.AVG(RawData[[#This Row],[PBF]],RawData[PBF],0)</f>
        <v>40</v>
      </c>
      <c r="Q11">
        <f>_xlfn.RANK.AVG(RawData[[#This Row],[PBF as a % of Total Public Operating]],RawData[PBF as a % of Total Public Operating],0)</f>
        <v>39.5</v>
      </c>
    </row>
    <row r="12" spans="1:17" x14ac:dyDescent="0.35">
      <c r="A12" s="29" t="s">
        <v>81</v>
      </c>
      <c r="B12" s="30" t="s">
        <v>82</v>
      </c>
      <c r="C12">
        <f>_xlfn.RANK.AVG(RawData[[#This Row],[Opportunity for continued engagement]],RawData[Opportunity for continued engagement],0)</f>
        <v>30.5</v>
      </c>
      <c r="D12">
        <f>_xlfn.RANK.AVG(RawData[[#This Row],[Opportunity to leverage existing policies and initiatives]],RawData[Opportunity to leverage existing policies and initiatives],0)</f>
        <v>5</v>
      </c>
      <c r="E12" s="31"/>
      <c r="F12">
        <f t="shared" si="0"/>
        <v>19.5</v>
      </c>
      <c r="G12">
        <f t="shared" si="0"/>
        <v>45</v>
      </c>
      <c r="H12" s="31"/>
      <c r="I12">
        <f t="shared" si="1"/>
        <v>32.25</v>
      </c>
      <c r="J12">
        <f t="shared" si="2"/>
        <v>9</v>
      </c>
      <c r="K12" s="31"/>
      <c r="L12">
        <f>IF(A12='State Detail'!BM$7,1,0)</f>
        <v>0</v>
      </c>
      <c r="M12" s="24" t="e">
        <f t="shared" si="3"/>
        <v>#N/A</v>
      </c>
      <c r="N12" s="24" t="e">
        <f t="shared" si="4"/>
        <v>#N/A</v>
      </c>
      <c r="O12" s="31"/>
      <c r="P12">
        <f>_xlfn.RANK.AVG(RawData[[#This Row],[PBF]],RawData[PBF],0)</f>
        <v>28</v>
      </c>
      <c r="Q12">
        <f>_xlfn.RANK.AVG(RawData[[#This Row],[PBF as a % of Total Public Operating]],RawData[PBF as a % of Total Public Operating],0)</f>
        <v>28</v>
      </c>
    </row>
    <row r="13" spans="1:17" x14ac:dyDescent="0.35">
      <c r="A13" s="29" t="s">
        <v>83</v>
      </c>
      <c r="B13" s="30" t="s">
        <v>84</v>
      </c>
      <c r="C13">
        <f>_xlfn.RANK.AVG(RawData[[#This Row],[Opportunity for continued engagement]],RawData[Opportunity for continued engagement],0)</f>
        <v>30.5</v>
      </c>
      <c r="D13">
        <f>_xlfn.RANK.AVG(RawData[[#This Row],[Opportunity to leverage existing policies and initiatives]],RawData[Opportunity to leverage existing policies and initiatives],0)</f>
        <v>36.5</v>
      </c>
      <c r="E13" s="31"/>
      <c r="F13">
        <f t="shared" si="0"/>
        <v>19.5</v>
      </c>
      <c r="G13">
        <f t="shared" si="0"/>
        <v>13.5</v>
      </c>
      <c r="H13" s="31"/>
      <c r="I13">
        <f t="shared" si="1"/>
        <v>16.5</v>
      </c>
      <c r="J13">
        <f t="shared" si="2"/>
        <v>35</v>
      </c>
      <c r="K13" s="31"/>
      <c r="L13">
        <f>IF(A13='State Detail'!BM$7,1,0)</f>
        <v>0</v>
      </c>
      <c r="M13" s="24" t="e">
        <f t="shared" si="3"/>
        <v>#N/A</v>
      </c>
      <c r="N13" s="24" t="e">
        <f t="shared" si="4"/>
        <v>#N/A</v>
      </c>
      <c r="O13" s="31"/>
      <c r="P13">
        <f>_xlfn.RANK.AVG(RawData[[#This Row],[PBF]],RawData[PBF],0)</f>
        <v>40</v>
      </c>
      <c r="Q13">
        <f>_xlfn.RANK.AVG(RawData[[#This Row],[PBF as a % of Total Public Operating]],RawData[PBF as a % of Total Public Operating],0)</f>
        <v>39.5</v>
      </c>
    </row>
    <row r="14" spans="1:17" x14ac:dyDescent="0.35">
      <c r="A14" s="29" t="s">
        <v>85</v>
      </c>
      <c r="B14" s="30" t="s">
        <v>86</v>
      </c>
      <c r="C14">
        <f>_xlfn.RANK.AVG(RawData[[#This Row],[Opportunity for continued engagement]],RawData[Opportunity for continued engagement],0)</f>
        <v>30.5</v>
      </c>
      <c r="D14">
        <f>_xlfn.RANK.AVG(RawData[[#This Row],[Opportunity to leverage existing policies and initiatives]],RawData[Opportunity to leverage existing policies and initiatives],0)</f>
        <v>26</v>
      </c>
      <c r="E14" s="31"/>
      <c r="F14">
        <f t="shared" si="0"/>
        <v>19.5</v>
      </c>
      <c r="G14">
        <f t="shared" si="0"/>
        <v>24</v>
      </c>
      <c r="H14" s="31"/>
      <c r="I14">
        <f t="shared" si="1"/>
        <v>21.75</v>
      </c>
      <c r="J14">
        <f t="shared" si="2"/>
        <v>25</v>
      </c>
      <c r="K14" s="31"/>
      <c r="L14">
        <f>IF(A14='State Detail'!BM$7,1,0)</f>
        <v>0</v>
      </c>
      <c r="M14" s="24" t="e">
        <f t="shared" si="3"/>
        <v>#N/A</v>
      </c>
      <c r="N14" s="24" t="e">
        <f t="shared" si="4"/>
        <v>#N/A</v>
      </c>
      <c r="O14" s="31"/>
      <c r="P14">
        <f>_xlfn.RANK.AVG(RawData[[#This Row],[PBF]],RawData[PBF],0)</f>
        <v>29</v>
      </c>
      <c r="Q14">
        <f>_xlfn.RANK.AVG(RawData[[#This Row],[PBF as a % of Total Public Operating]],RawData[PBF as a % of Total Public Operating],0)</f>
        <v>39.5</v>
      </c>
    </row>
    <row r="15" spans="1:17" x14ac:dyDescent="0.35">
      <c r="A15" s="29" t="s">
        <v>87</v>
      </c>
      <c r="B15" s="30" t="s">
        <v>88</v>
      </c>
      <c r="C15">
        <f>_xlfn.RANK.AVG(RawData[[#This Row],[Opportunity for continued engagement]],RawData[Opportunity for continued engagement],0)</f>
        <v>30.5</v>
      </c>
      <c r="D15">
        <f>_xlfn.RANK.AVG(RawData[[#This Row],[Opportunity to leverage existing policies and initiatives]],RawData[Opportunity to leverage existing policies and initiatives],0)</f>
        <v>5</v>
      </c>
      <c r="E15" s="31"/>
      <c r="F15">
        <f t="shared" si="0"/>
        <v>19.5</v>
      </c>
      <c r="G15">
        <f t="shared" si="0"/>
        <v>45</v>
      </c>
      <c r="H15" s="31"/>
      <c r="I15">
        <f t="shared" si="1"/>
        <v>32.25</v>
      </c>
      <c r="J15">
        <f t="shared" si="2"/>
        <v>9</v>
      </c>
      <c r="K15" s="31"/>
      <c r="L15">
        <f>IF(A15='State Detail'!BM$7,1,0)</f>
        <v>0</v>
      </c>
      <c r="M15" s="24" t="e">
        <f t="shared" si="3"/>
        <v>#N/A</v>
      </c>
      <c r="N15" s="24" t="e">
        <f t="shared" si="4"/>
        <v>#N/A</v>
      </c>
      <c r="O15" s="31"/>
      <c r="P15">
        <f>_xlfn.RANK.AVG(RawData[[#This Row],[PBF]],RawData[PBF],0)</f>
        <v>21</v>
      </c>
      <c r="Q15">
        <f>_xlfn.RANK.AVG(RawData[[#This Row],[PBF as a % of Total Public Operating]],RawData[PBF as a % of Total Public Operating],0)</f>
        <v>21.5</v>
      </c>
    </row>
    <row r="16" spans="1:17" x14ac:dyDescent="0.35">
      <c r="A16" s="29" t="s">
        <v>90</v>
      </c>
      <c r="B16" s="30" t="s">
        <v>91</v>
      </c>
      <c r="C16">
        <f>_xlfn.RANK.AVG(RawData[[#This Row],[Opportunity for continued engagement]],RawData[Opportunity for continued engagement],0)</f>
        <v>30.5</v>
      </c>
      <c r="D16">
        <f>_xlfn.RANK.AVG(RawData[[#This Row],[Opportunity to leverage existing policies and initiatives]],RawData[Opportunity to leverage existing policies and initiatives],0)</f>
        <v>26</v>
      </c>
      <c r="E16" s="31"/>
      <c r="F16">
        <f t="shared" si="0"/>
        <v>19.5</v>
      </c>
      <c r="G16">
        <f t="shared" si="0"/>
        <v>24</v>
      </c>
      <c r="H16" s="31"/>
      <c r="I16">
        <f t="shared" si="1"/>
        <v>21.75</v>
      </c>
      <c r="J16">
        <f t="shared" si="2"/>
        <v>25</v>
      </c>
      <c r="K16" s="31"/>
      <c r="L16">
        <f>IF(A16='State Detail'!BM$7,1,0)</f>
        <v>0</v>
      </c>
      <c r="M16" s="24" t="e">
        <f t="shared" si="3"/>
        <v>#N/A</v>
      </c>
      <c r="N16" s="24" t="e">
        <f t="shared" si="4"/>
        <v>#N/A</v>
      </c>
      <c r="O16" s="31"/>
      <c r="P16">
        <f>_xlfn.RANK.AVG(RawData[[#This Row],[PBF]],RawData[PBF],0)</f>
        <v>40</v>
      </c>
      <c r="Q16">
        <f>_xlfn.RANK.AVG(RawData[[#This Row],[PBF as a % of Total Public Operating]],RawData[PBF as a % of Total Public Operating],0)</f>
        <v>39.5</v>
      </c>
    </row>
    <row r="17" spans="1:17" x14ac:dyDescent="0.35">
      <c r="A17" s="29" t="s">
        <v>92</v>
      </c>
      <c r="B17" s="30" t="s">
        <v>93</v>
      </c>
      <c r="C17">
        <f>_xlfn.RANK.AVG(RawData[[#This Row],[Opportunity for continued engagement]],RawData[Opportunity for continued engagement],0)</f>
        <v>30.5</v>
      </c>
      <c r="D17">
        <f>_xlfn.RANK.AVG(RawData[[#This Row],[Opportunity to leverage existing policies and initiatives]],RawData[Opportunity to leverage existing policies and initiatives],0)</f>
        <v>15</v>
      </c>
      <c r="E17" s="31"/>
      <c r="F17">
        <f t="shared" si="0"/>
        <v>19.5</v>
      </c>
      <c r="G17">
        <f t="shared" si="0"/>
        <v>35</v>
      </c>
      <c r="H17" s="31"/>
      <c r="I17">
        <f t="shared" si="1"/>
        <v>27.25</v>
      </c>
      <c r="J17">
        <f t="shared" si="2"/>
        <v>17</v>
      </c>
      <c r="K17" s="31"/>
      <c r="L17">
        <f>IF(A17='State Detail'!BM$7,1,0)</f>
        <v>0</v>
      </c>
      <c r="M17" s="24" t="e">
        <f t="shared" si="3"/>
        <v>#N/A</v>
      </c>
      <c r="N17" s="24" t="e">
        <f t="shared" si="4"/>
        <v>#N/A</v>
      </c>
      <c r="O17" s="31"/>
      <c r="P17">
        <f>_xlfn.RANK.AVG(RawData[[#This Row],[PBF]],RawData[PBF],0)</f>
        <v>13</v>
      </c>
      <c r="Q17">
        <f>_xlfn.RANK.AVG(RawData[[#This Row],[PBF as a % of Total Public Operating]],RawData[PBF as a % of Total Public Operating],0)</f>
        <v>11</v>
      </c>
    </row>
    <row r="18" spans="1:17" x14ac:dyDescent="0.35">
      <c r="A18" s="29" t="s">
        <v>94</v>
      </c>
      <c r="B18" s="30" t="s">
        <v>95</v>
      </c>
      <c r="C18">
        <f>_xlfn.RANK.AVG(RawData[[#This Row],[Opportunity for continued engagement]],RawData[Opportunity for continued engagement],0)</f>
        <v>30.5</v>
      </c>
      <c r="D18">
        <f>_xlfn.RANK.AVG(RawData[[#This Row],[Opportunity to leverage existing policies and initiatives]],RawData[Opportunity to leverage existing policies and initiatives],0)</f>
        <v>5</v>
      </c>
      <c r="E18" s="31"/>
      <c r="F18">
        <f t="shared" si="0"/>
        <v>19.5</v>
      </c>
      <c r="G18">
        <f t="shared" si="0"/>
        <v>45</v>
      </c>
      <c r="H18" s="31"/>
      <c r="I18">
        <f t="shared" si="1"/>
        <v>32.25</v>
      </c>
      <c r="J18">
        <f t="shared" si="2"/>
        <v>9</v>
      </c>
      <c r="K18" s="31"/>
      <c r="L18">
        <f>IF(A18='State Detail'!BM$7,1,0)</f>
        <v>1</v>
      </c>
      <c r="M18" s="24">
        <f t="shared" si="3"/>
        <v>19.5</v>
      </c>
      <c r="N18" s="24">
        <f t="shared" si="4"/>
        <v>45</v>
      </c>
      <c r="O18" s="31"/>
      <c r="P18">
        <f>_xlfn.RANK.AVG(RawData[[#This Row],[PBF]],RawData[PBF],0)</f>
        <v>5</v>
      </c>
      <c r="Q18">
        <f>_xlfn.RANK.AVG(RawData[[#This Row],[PBF as a % of Total Public Operating]],RawData[PBF as a % of Total Public Operating],0)</f>
        <v>1</v>
      </c>
    </row>
    <row r="19" spans="1:17" x14ac:dyDescent="0.35">
      <c r="A19" s="29" t="s">
        <v>96</v>
      </c>
      <c r="B19" s="30" t="s">
        <v>97</v>
      </c>
      <c r="C19">
        <f>_xlfn.RANK.AVG(RawData[[#This Row],[Opportunity for continued engagement]],RawData[Opportunity for continued engagement],0)</f>
        <v>30.5</v>
      </c>
      <c r="D19">
        <f>_xlfn.RANK.AVG(RawData[[#This Row],[Opportunity to leverage existing policies and initiatives]],RawData[Opportunity to leverage existing policies and initiatives],0)</f>
        <v>15</v>
      </c>
      <c r="E19" s="31"/>
      <c r="F19">
        <f t="shared" si="0"/>
        <v>19.5</v>
      </c>
      <c r="G19">
        <f t="shared" si="0"/>
        <v>35</v>
      </c>
      <c r="H19" s="31"/>
      <c r="I19">
        <f t="shared" si="1"/>
        <v>27.25</v>
      </c>
      <c r="J19">
        <f t="shared" si="2"/>
        <v>17</v>
      </c>
      <c r="K19" s="31"/>
      <c r="L19">
        <f>IF(A19='State Detail'!BM$7,1,0)</f>
        <v>0</v>
      </c>
      <c r="M19" s="24" t="e">
        <f t="shared" si="3"/>
        <v>#N/A</v>
      </c>
      <c r="N19" s="24" t="e">
        <f t="shared" si="4"/>
        <v>#N/A</v>
      </c>
      <c r="O19" s="31"/>
      <c r="P19">
        <f>_xlfn.RANK.AVG(RawData[[#This Row],[PBF]],RawData[PBF],0)</f>
        <v>6</v>
      </c>
      <c r="Q19">
        <f>_xlfn.RANK.AVG(RawData[[#This Row],[PBF as a % of Total Public Operating]],RawData[PBF as a % of Total Public Operating],0)</f>
        <v>6</v>
      </c>
    </row>
    <row r="20" spans="1:17" x14ac:dyDescent="0.35">
      <c r="A20" s="29" t="s">
        <v>98</v>
      </c>
      <c r="B20" s="30" t="s">
        <v>99</v>
      </c>
      <c r="C20">
        <f>_xlfn.RANK.AVG(RawData[[#This Row],[Opportunity for continued engagement]],RawData[Opportunity for continued engagement],0)</f>
        <v>30.5</v>
      </c>
      <c r="D20">
        <f>_xlfn.RANK.AVG(RawData[[#This Row],[Opportunity to leverage existing policies and initiatives]],RawData[Opportunity to leverage existing policies and initiatives],0)</f>
        <v>36.5</v>
      </c>
      <c r="E20" s="31"/>
      <c r="F20">
        <f t="shared" si="0"/>
        <v>19.5</v>
      </c>
      <c r="G20">
        <f t="shared" si="0"/>
        <v>13.5</v>
      </c>
      <c r="H20" s="31"/>
      <c r="I20">
        <f t="shared" si="1"/>
        <v>16.5</v>
      </c>
      <c r="J20">
        <f t="shared" si="2"/>
        <v>35</v>
      </c>
      <c r="K20" s="31"/>
      <c r="L20">
        <f>IF(A20='State Detail'!BM$7,1,0)</f>
        <v>0</v>
      </c>
      <c r="M20" s="24" t="e">
        <f t="shared" si="3"/>
        <v>#N/A</v>
      </c>
      <c r="N20" s="24" t="e">
        <f t="shared" si="4"/>
        <v>#N/A</v>
      </c>
      <c r="O20" s="31"/>
      <c r="P20">
        <f>_xlfn.RANK.AVG(RawData[[#This Row],[PBF]],RawData[PBF],0)</f>
        <v>40</v>
      </c>
      <c r="Q20">
        <f>_xlfn.RANK.AVG(RawData[[#This Row],[PBF as a % of Total Public Operating]],RawData[PBF as a % of Total Public Operating],0)</f>
        <v>39.5</v>
      </c>
    </row>
    <row r="21" spans="1:17" x14ac:dyDescent="0.35">
      <c r="A21" s="29" t="s">
        <v>100</v>
      </c>
      <c r="B21" s="30" t="s">
        <v>101</v>
      </c>
      <c r="C21">
        <f>_xlfn.RANK.AVG(RawData[[#This Row],[Opportunity for continued engagement]],RawData[Opportunity for continued engagement],0)</f>
        <v>30.5</v>
      </c>
      <c r="D21">
        <f>_xlfn.RANK.AVG(RawData[[#This Row],[Opportunity to leverage existing policies and initiatives]],RawData[Opportunity to leverage existing policies and initiatives],0)</f>
        <v>36.5</v>
      </c>
      <c r="E21" s="31"/>
      <c r="F21">
        <f t="shared" si="0"/>
        <v>19.5</v>
      </c>
      <c r="G21">
        <f t="shared" si="0"/>
        <v>13.5</v>
      </c>
      <c r="H21" s="31"/>
      <c r="I21">
        <f t="shared" si="1"/>
        <v>16.5</v>
      </c>
      <c r="J21">
        <f t="shared" si="2"/>
        <v>35</v>
      </c>
      <c r="K21" s="31"/>
      <c r="L21">
        <f>IF(A21='State Detail'!BM$7,1,0)</f>
        <v>0</v>
      </c>
      <c r="M21" s="24" t="e">
        <f t="shared" si="3"/>
        <v>#N/A</v>
      </c>
      <c r="N21" s="24" t="e">
        <f t="shared" si="4"/>
        <v>#N/A</v>
      </c>
      <c r="O21" s="31"/>
      <c r="P21">
        <f>_xlfn.RANK.AVG(RawData[[#This Row],[PBF]],RawData[PBF],0)</f>
        <v>40</v>
      </c>
      <c r="Q21">
        <f>_xlfn.RANK.AVG(RawData[[#This Row],[PBF as a % of Total Public Operating]],RawData[PBF as a % of Total Public Operating],0)</f>
        <v>39.5</v>
      </c>
    </row>
    <row r="22" spans="1:17" x14ac:dyDescent="0.35">
      <c r="A22" s="29" t="s">
        <v>104</v>
      </c>
      <c r="B22" s="30" t="s">
        <v>105</v>
      </c>
      <c r="C22">
        <f>_xlfn.RANK.AVG(RawData[[#This Row],[Opportunity for continued engagement]],RawData[Opportunity for continued engagement],0)</f>
        <v>30.5</v>
      </c>
      <c r="D22">
        <f>_xlfn.RANK.AVG(RawData[[#This Row],[Opportunity to leverage existing policies and initiatives]],RawData[Opportunity to leverage existing policies and initiatives],0)</f>
        <v>5</v>
      </c>
      <c r="E22" s="31"/>
      <c r="F22">
        <f t="shared" si="0"/>
        <v>19.5</v>
      </c>
      <c r="G22">
        <f t="shared" si="0"/>
        <v>45</v>
      </c>
      <c r="H22" s="31"/>
      <c r="I22">
        <f t="shared" si="1"/>
        <v>32.25</v>
      </c>
      <c r="J22">
        <f t="shared" si="2"/>
        <v>9</v>
      </c>
      <c r="K22" s="31"/>
      <c r="L22">
        <f>IF(A22='State Detail'!BM$7,1,0)</f>
        <v>0</v>
      </c>
      <c r="M22" s="24" t="e">
        <f t="shared" si="3"/>
        <v>#N/A</v>
      </c>
      <c r="N22" s="24" t="e">
        <f t="shared" si="4"/>
        <v>#N/A</v>
      </c>
      <c r="O22" s="31"/>
      <c r="P22">
        <f>_xlfn.RANK.AVG(RawData[[#This Row],[PBF]],RawData[PBF],0)</f>
        <v>22</v>
      </c>
      <c r="Q22">
        <f>_xlfn.RANK.AVG(RawData[[#This Row],[PBF as a % of Total Public Operating]],RawData[PBF as a % of Total Public Operating],0)</f>
        <v>24</v>
      </c>
    </row>
    <row r="23" spans="1:17" x14ac:dyDescent="0.35">
      <c r="A23" s="29" t="s">
        <v>107</v>
      </c>
      <c r="B23" s="30" t="s">
        <v>108</v>
      </c>
      <c r="C23">
        <f>_xlfn.RANK.AVG(RawData[[#This Row],[Opportunity for continued engagement]],RawData[Opportunity for continued engagement],0)</f>
        <v>6</v>
      </c>
      <c r="D23">
        <f>_xlfn.RANK.AVG(RawData[[#This Row],[Opportunity to leverage existing policies and initiatives]],RawData[Opportunity to leverage existing policies and initiatives],0)</f>
        <v>36.5</v>
      </c>
      <c r="E23" s="31"/>
      <c r="F23">
        <f t="shared" si="0"/>
        <v>44</v>
      </c>
      <c r="G23">
        <f t="shared" si="0"/>
        <v>13.5</v>
      </c>
      <c r="H23" s="31"/>
      <c r="I23">
        <f t="shared" si="1"/>
        <v>28.75</v>
      </c>
      <c r="J23">
        <f t="shared" si="2"/>
        <v>15</v>
      </c>
      <c r="K23" s="31"/>
      <c r="L23">
        <f>IF(A23='State Detail'!BM$7,1,0)</f>
        <v>0</v>
      </c>
      <c r="M23" s="24" t="e">
        <f t="shared" si="3"/>
        <v>#N/A</v>
      </c>
      <c r="N23" s="24" t="e">
        <f t="shared" si="4"/>
        <v>#N/A</v>
      </c>
      <c r="O23" s="31"/>
      <c r="P23">
        <f>_xlfn.RANK.AVG(RawData[[#This Row],[PBF]],RawData[PBF],0)</f>
        <v>25</v>
      </c>
      <c r="Q23">
        <f>_xlfn.RANK.AVG(RawData[[#This Row],[PBF as a % of Total Public Operating]],RawData[PBF as a % of Total Public Operating],0)</f>
        <v>27</v>
      </c>
    </row>
    <row r="24" spans="1:17" x14ac:dyDescent="0.35">
      <c r="A24" s="29" t="s">
        <v>110</v>
      </c>
      <c r="B24" s="30" t="s">
        <v>111</v>
      </c>
      <c r="C24">
        <f>_xlfn.RANK.AVG(RawData[[#This Row],[Opportunity for continued engagement]],RawData[Opportunity for continued engagement],0)</f>
        <v>30.5</v>
      </c>
      <c r="D24">
        <f>_xlfn.RANK.AVG(RawData[[#This Row],[Opportunity to leverage existing policies and initiatives]],RawData[Opportunity to leverage existing policies and initiatives],0)</f>
        <v>36.5</v>
      </c>
      <c r="E24" s="31"/>
      <c r="F24">
        <f t="shared" si="0"/>
        <v>19.5</v>
      </c>
      <c r="G24">
        <f t="shared" si="0"/>
        <v>13.5</v>
      </c>
      <c r="H24" s="31"/>
      <c r="I24">
        <f t="shared" si="1"/>
        <v>16.5</v>
      </c>
      <c r="J24">
        <f t="shared" si="2"/>
        <v>35</v>
      </c>
      <c r="K24" s="31"/>
      <c r="L24">
        <f>IF(A24='State Detail'!BM$7,1,0)</f>
        <v>0</v>
      </c>
      <c r="M24" s="24" t="e">
        <f t="shared" si="3"/>
        <v>#N/A</v>
      </c>
      <c r="N24" s="24" t="e">
        <f t="shared" si="4"/>
        <v>#N/A</v>
      </c>
      <c r="O24" s="31"/>
      <c r="P24">
        <f>_xlfn.RANK.AVG(RawData[[#This Row],[PBF]],RawData[PBF],0)</f>
        <v>40</v>
      </c>
      <c r="Q24">
        <f>_xlfn.RANK.AVG(RawData[[#This Row],[PBF as a % of Total Public Operating]],RawData[PBF as a % of Total Public Operating],0)</f>
        <v>39.5</v>
      </c>
    </row>
    <row r="25" spans="1:17" x14ac:dyDescent="0.35">
      <c r="A25" s="29" t="s">
        <v>112</v>
      </c>
      <c r="B25" s="30" t="s">
        <v>113</v>
      </c>
      <c r="C25">
        <f>_xlfn.RANK.AVG(RawData[[#This Row],[Opportunity for continued engagement]],RawData[Opportunity for continued engagement],0)</f>
        <v>30.5</v>
      </c>
      <c r="D25">
        <f>_xlfn.RANK.AVG(RawData[[#This Row],[Opportunity to leverage existing policies and initiatives]],RawData[Opportunity to leverage existing policies and initiatives],0)</f>
        <v>36.5</v>
      </c>
      <c r="E25" s="31"/>
      <c r="F25">
        <f t="shared" si="0"/>
        <v>19.5</v>
      </c>
      <c r="G25">
        <f t="shared" si="0"/>
        <v>13.5</v>
      </c>
      <c r="H25" s="31"/>
      <c r="I25">
        <f t="shared" si="1"/>
        <v>16.5</v>
      </c>
      <c r="J25">
        <f t="shared" si="2"/>
        <v>35</v>
      </c>
      <c r="K25" s="31"/>
      <c r="L25">
        <f>IF(A25='State Detail'!BM$7,1,0)</f>
        <v>0</v>
      </c>
      <c r="M25" s="24" t="e">
        <f t="shared" si="3"/>
        <v>#N/A</v>
      </c>
      <c r="N25" s="24" t="e">
        <f t="shared" si="4"/>
        <v>#N/A</v>
      </c>
      <c r="O25" s="31"/>
      <c r="P25">
        <f>_xlfn.RANK.AVG(RawData[[#This Row],[PBF]],RawData[PBF],0)</f>
        <v>40</v>
      </c>
      <c r="Q25">
        <f>_xlfn.RANK.AVG(RawData[[#This Row],[PBF as a % of Total Public Operating]],RawData[PBF as a % of Total Public Operating],0)</f>
        <v>39.5</v>
      </c>
    </row>
    <row r="26" spans="1:17" x14ac:dyDescent="0.35">
      <c r="A26" s="29" t="s">
        <v>114</v>
      </c>
      <c r="B26" s="30" t="s">
        <v>115</v>
      </c>
      <c r="C26">
        <f>_xlfn.RANK.AVG(RawData[[#This Row],[Opportunity for continued engagement]],RawData[Opportunity for continued engagement],0)</f>
        <v>30.5</v>
      </c>
      <c r="D26">
        <f>_xlfn.RANK.AVG(RawData[[#This Row],[Opportunity to leverage existing policies and initiatives]],RawData[Opportunity to leverage existing policies and initiatives],0)</f>
        <v>36.5</v>
      </c>
      <c r="E26" s="31"/>
      <c r="F26">
        <f t="shared" si="0"/>
        <v>19.5</v>
      </c>
      <c r="G26">
        <f t="shared" si="0"/>
        <v>13.5</v>
      </c>
      <c r="H26" s="31"/>
      <c r="I26">
        <f t="shared" si="1"/>
        <v>16.5</v>
      </c>
      <c r="J26">
        <f t="shared" si="2"/>
        <v>35</v>
      </c>
      <c r="K26" s="31"/>
      <c r="L26">
        <f>IF(A26='State Detail'!BM$7,1,0)</f>
        <v>0</v>
      </c>
      <c r="M26" s="24" t="e">
        <f t="shared" si="3"/>
        <v>#N/A</v>
      </c>
      <c r="N26" s="24" t="e">
        <f t="shared" si="4"/>
        <v>#N/A</v>
      </c>
      <c r="O26" s="31"/>
      <c r="P26">
        <f>_xlfn.RANK.AVG(RawData[[#This Row],[PBF]],RawData[PBF],0)</f>
        <v>40</v>
      </c>
      <c r="Q26">
        <f>_xlfn.RANK.AVG(RawData[[#This Row],[PBF as a % of Total Public Operating]],RawData[PBF as a % of Total Public Operating],0)</f>
        <v>39.5</v>
      </c>
    </row>
    <row r="27" spans="1:17" x14ac:dyDescent="0.35">
      <c r="A27" s="29" t="s">
        <v>116</v>
      </c>
      <c r="B27" s="30" t="s">
        <v>117</v>
      </c>
      <c r="C27">
        <f>_xlfn.RANK.AVG(RawData[[#This Row],[Opportunity for continued engagement]],RawData[Opportunity for continued engagement],0)</f>
        <v>30.5</v>
      </c>
      <c r="D27">
        <f>_xlfn.RANK.AVG(RawData[[#This Row],[Opportunity to leverage existing policies and initiatives]],RawData[Opportunity to leverage existing policies and initiatives],0)</f>
        <v>15</v>
      </c>
      <c r="E27" s="31"/>
      <c r="F27">
        <f t="shared" si="0"/>
        <v>19.5</v>
      </c>
      <c r="G27">
        <f t="shared" si="0"/>
        <v>35</v>
      </c>
      <c r="H27" s="31"/>
      <c r="I27">
        <f t="shared" si="1"/>
        <v>27.25</v>
      </c>
      <c r="J27">
        <f t="shared" si="2"/>
        <v>17</v>
      </c>
      <c r="K27" s="31"/>
      <c r="L27">
        <f>IF(A27='State Detail'!BM$7,1,0)</f>
        <v>0</v>
      </c>
      <c r="M27" s="24" t="e">
        <f t="shared" si="3"/>
        <v>#N/A</v>
      </c>
      <c r="N27" s="24" t="e">
        <f t="shared" si="4"/>
        <v>#N/A</v>
      </c>
      <c r="O27" s="31"/>
      <c r="P27">
        <f>_xlfn.RANK.AVG(RawData[[#This Row],[PBF]],RawData[PBF],0)</f>
        <v>24</v>
      </c>
      <c r="Q27">
        <f>_xlfn.RANK.AVG(RawData[[#This Row],[PBF as a % of Total Public Operating]],RawData[PBF as a % of Total Public Operating],0)</f>
        <v>14</v>
      </c>
    </row>
    <row r="28" spans="1:17" x14ac:dyDescent="0.35">
      <c r="A28" s="29" t="s">
        <v>119</v>
      </c>
      <c r="B28" s="30" t="s">
        <v>120</v>
      </c>
      <c r="C28">
        <f>_xlfn.RANK.AVG(RawData[[#This Row],[Opportunity for continued engagement]],RawData[Opportunity for continued engagement],0)</f>
        <v>30.5</v>
      </c>
      <c r="D28">
        <f>_xlfn.RANK.AVG(RawData[[#This Row],[Opportunity to leverage existing policies and initiatives]],RawData[Opportunity to leverage existing policies and initiatives],0)</f>
        <v>48.5</v>
      </c>
      <c r="E28" s="31"/>
      <c r="F28">
        <f t="shared" si="0"/>
        <v>19.5</v>
      </c>
      <c r="G28">
        <f t="shared" si="0"/>
        <v>1.5</v>
      </c>
      <c r="H28" s="31"/>
      <c r="I28">
        <f t="shared" si="1"/>
        <v>10.5</v>
      </c>
      <c r="J28">
        <f t="shared" si="2"/>
        <v>48</v>
      </c>
      <c r="K28" s="31"/>
      <c r="L28">
        <f>IF(A28='State Detail'!BM$7,1,0)</f>
        <v>0</v>
      </c>
      <c r="M28" s="24" t="e">
        <f t="shared" si="3"/>
        <v>#N/A</v>
      </c>
      <c r="N28" s="24" t="e">
        <f t="shared" si="4"/>
        <v>#N/A</v>
      </c>
      <c r="O28" s="31"/>
      <c r="P28">
        <f>_xlfn.RANK.AVG(RawData[[#This Row],[PBF]],RawData[PBF],0)</f>
        <v>40</v>
      </c>
      <c r="Q28">
        <f>_xlfn.RANK.AVG(RawData[[#This Row],[PBF as a % of Total Public Operating]],RawData[PBF as a % of Total Public Operating],0)</f>
        <v>39.5</v>
      </c>
    </row>
    <row r="29" spans="1:17" x14ac:dyDescent="0.35">
      <c r="A29" s="29" t="s">
        <v>121</v>
      </c>
      <c r="B29" s="30" t="s">
        <v>122</v>
      </c>
      <c r="C29">
        <f>_xlfn.RANK.AVG(RawData[[#This Row],[Opportunity for continued engagement]],RawData[Opportunity for continued engagement],0)</f>
        <v>30.5</v>
      </c>
      <c r="D29">
        <f>_xlfn.RANK.AVG(RawData[[#This Row],[Opportunity to leverage existing policies and initiatives]],RawData[Opportunity to leverage existing policies and initiatives],0)</f>
        <v>5</v>
      </c>
      <c r="E29" s="31"/>
      <c r="F29">
        <f t="shared" si="0"/>
        <v>19.5</v>
      </c>
      <c r="G29">
        <f t="shared" si="0"/>
        <v>45</v>
      </c>
      <c r="H29" s="31"/>
      <c r="I29">
        <f t="shared" si="1"/>
        <v>32.25</v>
      </c>
      <c r="J29">
        <f t="shared" si="2"/>
        <v>9</v>
      </c>
      <c r="K29" s="31"/>
      <c r="L29">
        <f>IF(A29='State Detail'!BM$7,1,0)</f>
        <v>0</v>
      </c>
      <c r="M29" s="24" t="e">
        <f t="shared" si="3"/>
        <v>#N/A</v>
      </c>
      <c r="N29" s="24" t="e">
        <f t="shared" si="4"/>
        <v>#N/A</v>
      </c>
      <c r="O29" s="31"/>
      <c r="P29">
        <f>_xlfn.RANK.AVG(RawData[[#This Row],[PBF]],RawData[PBF],0)</f>
        <v>12</v>
      </c>
      <c r="Q29">
        <f>_xlfn.RANK.AVG(RawData[[#This Row],[PBF as a % of Total Public Operating]],RawData[PBF as a % of Total Public Operating],0)</f>
        <v>8</v>
      </c>
    </row>
    <row r="30" spans="1:17" x14ac:dyDescent="0.35">
      <c r="A30" s="29" t="s">
        <v>123</v>
      </c>
      <c r="B30" s="30" t="s">
        <v>124</v>
      </c>
      <c r="C30">
        <f>_xlfn.RANK.AVG(RawData[[#This Row],[Opportunity for continued engagement]],RawData[Opportunity for continued engagement],0)</f>
        <v>30.5</v>
      </c>
      <c r="D30">
        <f>_xlfn.RANK.AVG(RawData[[#This Row],[Opportunity to leverage existing policies and initiatives]],RawData[Opportunity to leverage existing policies and initiatives],0)</f>
        <v>48.5</v>
      </c>
      <c r="E30" s="31"/>
      <c r="F30">
        <f t="shared" si="0"/>
        <v>19.5</v>
      </c>
      <c r="G30">
        <f t="shared" si="0"/>
        <v>1.5</v>
      </c>
      <c r="H30" s="31"/>
      <c r="I30">
        <f t="shared" si="1"/>
        <v>10.5</v>
      </c>
      <c r="J30">
        <f t="shared" si="2"/>
        <v>48</v>
      </c>
      <c r="K30" s="31"/>
      <c r="L30">
        <f>IF(A30='State Detail'!BM$7,1,0)</f>
        <v>0</v>
      </c>
      <c r="M30" s="24" t="e">
        <f t="shared" si="3"/>
        <v>#N/A</v>
      </c>
      <c r="N30" s="24" t="e">
        <f t="shared" si="4"/>
        <v>#N/A</v>
      </c>
      <c r="O30" s="31"/>
      <c r="P30">
        <f>_xlfn.RANK.AVG(RawData[[#This Row],[PBF]],RawData[PBF],0)</f>
        <v>40</v>
      </c>
      <c r="Q30">
        <f>_xlfn.RANK.AVG(RawData[[#This Row],[PBF as a % of Total Public Operating]],RawData[PBF as a % of Total Public Operating],0)</f>
        <v>39.5</v>
      </c>
    </row>
    <row r="31" spans="1:17" x14ac:dyDescent="0.35">
      <c r="A31" s="29" t="s">
        <v>125</v>
      </c>
      <c r="B31" s="30" t="s">
        <v>126</v>
      </c>
      <c r="C31">
        <f>_xlfn.RANK.AVG(RawData[[#This Row],[Opportunity for continued engagement]],RawData[Opportunity for continued engagement],0)</f>
        <v>6</v>
      </c>
      <c r="D31">
        <f>_xlfn.RANK.AVG(RawData[[#This Row],[Opportunity to leverage existing policies and initiatives]],RawData[Opportunity to leverage existing policies and initiatives],0)</f>
        <v>15</v>
      </c>
      <c r="E31" s="31"/>
      <c r="F31">
        <f t="shared" si="0"/>
        <v>44</v>
      </c>
      <c r="G31">
        <f t="shared" si="0"/>
        <v>35</v>
      </c>
      <c r="H31" s="31"/>
      <c r="I31">
        <f t="shared" si="1"/>
        <v>39.5</v>
      </c>
      <c r="J31">
        <f t="shared" si="2"/>
        <v>4</v>
      </c>
      <c r="K31" s="31"/>
      <c r="L31">
        <f>IF(A31='State Detail'!BM$7,1,0)</f>
        <v>0</v>
      </c>
      <c r="M31" s="24" t="e">
        <f t="shared" si="3"/>
        <v>#N/A</v>
      </c>
      <c r="N31" s="24" t="e">
        <f t="shared" si="4"/>
        <v>#N/A</v>
      </c>
      <c r="O31" s="31"/>
      <c r="P31">
        <f>_xlfn.RANK.AVG(RawData[[#This Row],[PBF]],RawData[PBF],0)</f>
        <v>9</v>
      </c>
      <c r="Q31">
        <f>_xlfn.RANK.AVG(RawData[[#This Row],[PBF as a % of Total Public Operating]],RawData[PBF as a % of Total Public Operating],0)</f>
        <v>10</v>
      </c>
    </row>
    <row r="32" spans="1:17" x14ac:dyDescent="0.35">
      <c r="A32" s="29" t="s">
        <v>128</v>
      </c>
      <c r="B32" s="30" t="s">
        <v>129</v>
      </c>
      <c r="C32">
        <f>_xlfn.RANK.AVG(RawData[[#This Row],[Opportunity for continued engagement]],RawData[Opportunity for continued engagement],0)</f>
        <v>30.5</v>
      </c>
      <c r="D32">
        <f>_xlfn.RANK.AVG(RawData[[#This Row],[Opportunity to leverage existing policies and initiatives]],RawData[Opportunity to leverage existing policies and initiatives],0)</f>
        <v>15</v>
      </c>
      <c r="E32" s="31"/>
      <c r="F32">
        <f t="shared" si="0"/>
        <v>19.5</v>
      </c>
      <c r="G32">
        <f t="shared" si="0"/>
        <v>35</v>
      </c>
      <c r="H32" s="31"/>
      <c r="I32">
        <f t="shared" si="1"/>
        <v>27.25</v>
      </c>
      <c r="J32">
        <f t="shared" si="2"/>
        <v>17</v>
      </c>
      <c r="K32" s="31"/>
      <c r="L32">
        <f>IF(A32='State Detail'!BM$7,1,0)</f>
        <v>0</v>
      </c>
      <c r="M32" s="24" t="e">
        <f t="shared" si="3"/>
        <v>#N/A</v>
      </c>
      <c r="N32" s="24" t="e">
        <f t="shared" si="4"/>
        <v>#N/A</v>
      </c>
      <c r="O32" s="31"/>
      <c r="P32">
        <f>_xlfn.RANK.AVG(RawData[[#This Row],[PBF]],RawData[PBF],0)</f>
        <v>17</v>
      </c>
      <c r="Q32">
        <f>_xlfn.RANK.AVG(RawData[[#This Row],[PBF as a % of Total Public Operating]],RawData[PBF as a % of Total Public Operating],0)</f>
        <v>15</v>
      </c>
    </row>
    <row r="33" spans="1:17" x14ac:dyDescent="0.35">
      <c r="A33" s="29" t="s">
        <v>130</v>
      </c>
      <c r="B33" s="30" t="s">
        <v>131</v>
      </c>
      <c r="C33">
        <f>_xlfn.RANK.AVG(RawData[[#This Row],[Opportunity for continued engagement]],RawData[Opportunity for continued engagement],0)</f>
        <v>6</v>
      </c>
      <c r="D33">
        <f>_xlfn.RANK.AVG(RawData[[#This Row],[Opportunity to leverage existing policies and initiatives]],RawData[Opportunity to leverage existing policies and initiatives],0)</f>
        <v>44.5</v>
      </c>
      <c r="E33" s="31"/>
      <c r="F33">
        <f t="shared" si="0"/>
        <v>44</v>
      </c>
      <c r="G33">
        <f t="shared" si="0"/>
        <v>5.5</v>
      </c>
      <c r="H33" s="31"/>
      <c r="I33">
        <f t="shared" si="1"/>
        <v>24.75</v>
      </c>
      <c r="J33">
        <f t="shared" si="2"/>
        <v>24</v>
      </c>
      <c r="K33" s="31"/>
      <c r="L33">
        <f>IF(A33='State Detail'!BM$7,1,0)</f>
        <v>0</v>
      </c>
      <c r="M33" s="24" t="e">
        <f t="shared" si="3"/>
        <v>#N/A</v>
      </c>
      <c r="N33" s="24" t="e">
        <f t="shared" si="4"/>
        <v>#N/A</v>
      </c>
      <c r="O33" s="31"/>
      <c r="P33">
        <f>_xlfn.RANK.AVG(RawData[[#This Row],[PBF]],RawData[PBF],0)</f>
        <v>40</v>
      </c>
      <c r="Q33">
        <f>_xlfn.RANK.AVG(RawData[[#This Row],[PBF as a % of Total Public Operating]],RawData[PBF as a % of Total Public Operating],0)</f>
        <v>39.5</v>
      </c>
    </row>
    <row r="34" spans="1:17" x14ac:dyDescent="0.35">
      <c r="A34" s="29" t="s">
        <v>134</v>
      </c>
      <c r="B34" s="30" t="s">
        <v>135</v>
      </c>
      <c r="C34">
        <f>_xlfn.RANK.AVG(RawData[[#This Row],[Opportunity for continued engagement]],RawData[Opportunity for continued engagement],0)</f>
        <v>6</v>
      </c>
      <c r="D34">
        <f>_xlfn.RANK.AVG(RawData[[#This Row],[Opportunity to leverage existing policies and initiatives]],RawData[Opportunity to leverage existing policies and initiatives],0)</f>
        <v>5</v>
      </c>
      <c r="E34" s="31"/>
      <c r="F34">
        <f t="shared" si="0"/>
        <v>44</v>
      </c>
      <c r="G34">
        <f t="shared" si="0"/>
        <v>45</v>
      </c>
      <c r="H34" s="31"/>
      <c r="I34">
        <f t="shared" si="1"/>
        <v>44.5</v>
      </c>
      <c r="J34">
        <f t="shared" si="2"/>
        <v>1</v>
      </c>
      <c r="K34" s="31"/>
      <c r="L34">
        <f>IF(A34='State Detail'!BM$7,1,0)</f>
        <v>0</v>
      </c>
      <c r="M34" s="24" t="e">
        <f t="shared" si="3"/>
        <v>#N/A</v>
      </c>
      <c r="N34" s="24" t="e">
        <f t="shared" si="4"/>
        <v>#N/A</v>
      </c>
      <c r="O34" s="31"/>
      <c r="P34">
        <f>_xlfn.RANK.AVG(RawData[[#This Row],[PBF]],RawData[PBF],0)</f>
        <v>15</v>
      </c>
      <c r="Q34">
        <f>_xlfn.RANK.AVG(RawData[[#This Row],[PBF as a % of Total Public Operating]],RawData[PBF as a % of Total Public Operating],0)</f>
        <v>23</v>
      </c>
    </row>
    <row r="35" spans="1:17" x14ac:dyDescent="0.35">
      <c r="A35" s="29" t="s">
        <v>137</v>
      </c>
      <c r="B35" s="30" t="s">
        <v>138</v>
      </c>
      <c r="C35">
        <f>_xlfn.RANK.AVG(RawData[[#This Row],[Opportunity for continued engagement]],RawData[Opportunity for continued engagement],0)</f>
        <v>30.5</v>
      </c>
      <c r="D35">
        <f>_xlfn.RANK.AVG(RawData[[#This Row],[Opportunity to leverage existing policies and initiatives]],RawData[Opportunity to leverage existing policies and initiatives],0)</f>
        <v>26</v>
      </c>
      <c r="E35" s="31"/>
      <c r="F35">
        <f t="shared" si="0"/>
        <v>19.5</v>
      </c>
      <c r="G35">
        <f t="shared" si="0"/>
        <v>24</v>
      </c>
      <c r="H35" s="31"/>
      <c r="I35">
        <f t="shared" si="1"/>
        <v>21.75</v>
      </c>
      <c r="J35">
        <f t="shared" si="2"/>
        <v>25</v>
      </c>
      <c r="K35" s="31"/>
      <c r="L35">
        <f>IF(A35='State Detail'!BM$7,1,0)</f>
        <v>0</v>
      </c>
      <c r="M35" s="24" t="e">
        <f t="shared" si="3"/>
        <v>#N/A</v>
      </c>
      <c r="N35" s="24" t="e">
        <f t="shared" si="4"/>
        <v>#N/A</v>
      </c>
      <c r="O35" s="31"/>
      <c r="P35">
        <f>_xlfn.RANK.AVG(RawData[[#This Row],[PBF]],RawData[PBF],0)</f>
        <v>10</v>
      </c>
      <c r="Q35">
        <f>_xlfn.RANK.AVG(RawData[[#This Row],[PBF as a % of Total Public Operating]],RawData[PBF as a % of Total Public Operating],0)</f>
        <v>2</v>
      </c>
    </row>
    <row r="36" spans="1:17" x14ac:dyDescent="0.35">
      <c r="A36" s="29" t="s">
        <v>139</v>
      </c>
      <c r="B36" s="30" t="s">
        <v>140</v>
      </c>
      <c r="C36">
        <f>_xlfn.RANK.AVG(RawData[[#This Row],[Opportunity for continued engagement]],RawData[Opportunity for continued engagement],0)</f>
        <v>6</v>
      </c>
      <c r="D36">
        <f>_xlfn.RANK.AVG(RawData[[#This Row],[Opportunity to leverage existing policies and initiatives]],RawData[Opportunity to leverage existing policies and initiatives],0)</f>
        <v>15</v>
      </c>
      <c r="E36" s="31"/>
      <c r="F36">
        <f t="shared" si="0"/>
        <v>44</v>
      </c>
      <c r="G36">
        <f t="shared" si="0"/>
        <v>35</v>
      </c>
      <c r="H36" s="31"/>
      <c r="I36">
        <f t="shared" si="1"/>
        <v>39.5</v>
      </c>
      <c r="J36">
        <f t="shared" si="2"/>
        <v>4</v>
      </c>
      <c r="K36" s="31"/>
      <c r="L36">
        <f>IF(A36='State Detail'!BM$7,1,0)</f>
        <v>0</v>
      </c>
      <c r="M36" s="24" t="e">
        <f t="shared" si="3"/>
        <v>#N/A</v>
      </c>
      <c r="N36" s="24" t="e">
        <f t="shared" si="4"/>
        <v>#N/A</v>
      </c>
      <c r="O36" s="31"/>
      <c r="P36">
        <f>_xlfn.RANK.AVG(RawData[[#This Row],[PBF]],RawData[PBF],0)</f>
        <v>1</v>
      </c>
      <c r="Q36">
        <f>_xlfn.RANK.AVG(RawData[[#This Row],[PBF as a % of Total Public Operating]],RawData[PBF as a % of Total Public Operating],0)</f>
        <v>3</v>
      </c>
    </row>
    <row r="37" spans="1:17" x14ac:dyDescent="0.35">
      <c r="A37" s="29" t="s">
        <v>142</v>
      </c>
      <c r="B37" s="30" t="s">
        <v>143</v>
      </c>
      <c r="C37">
        <f>_xlfn.RANK.AVG(RawData[[#This Row],[Opportunity for continued engagement]],RawData[Opportunity for continued engagement],0)</f>
        <v>50</v>
      </c>
      <c r="D37">
        <f>_xlfn.RANK.AVG(RawData[[#This Row],[Opportunity to leverage existing policies and initiatives]],RawData[Opportunity to leverage existing policies and initiatives],0)</f>
        <v>15</v>
      </c>
      <c r="E37" s="31"/>
      <c r="F37">
        <f t="shared" si="0"/>
        <v>0</v>
      </c>
      <c r="G37">
        <f t="shared" si="0"/>
        <v>35</v>
      </c>
      <c r="H37" s="31"/>
      <c r="I37">
        <f t="shared" si="1"/>
        <v>17.5</v>
      </c>
      <c r="J37">
        <f t="shared" si="2"/>
        <v>34</v>
      </c>
      <c r="K37" s="31"/>
      <c r="L37">
        <f>IF(A37='State Detail'!BM$7,1,0)</f>
        <v>0</v>
      </c>
      <c r="M37" s="24" t="e">
        <f t="shared" si="3"/>
        <v>#N/A</v>
      </c>
      <c r="N37" s="24" t="e">
        <f t="shared" si="4"/>
        <v>#N/A</v>
      </c>
      <c r="O37" s="31"/>
      <c r="P37">
        <f>_xlfn.RANK.AVG(RawData[[#This Row],[PBF]],RawData[PBF],0)</f>
        <v>20</v>
      </c>
      <c r="Q37">
        <f>_xlfn.RANK.AVG(RawData[[#This Row],[PBF as a % of Total Public Operating]],RawData[PBF as a % of Total Public Operating],0)</f>
        <v>16</v>
      </c>
    </row>
    <row r="38" spans="1:17" x14ac:dyDescent="0.35">
      <c r="A38" s="29" t="s">
        <v>144</v>
      </c>
      <c r="B38" s="30" t="s">
        <v>145</v>
      </c>
      <c r="C38">
        <f>_xlfn.RANK.AVG(RawData[[#This Row],[Opportunity for continued engagement]],RawData[Opportunity for continued engagement],0)</f>
        <v>30.5</v>
      </c>
      <c r="D38">
        <f>_xlfn.RANK.AVG(RawData[[#This Row],[Opportunity to leverage existing policies and initiatives]],RawData[Opportunity to leverage existing policies and initiatives],0)</f>
        <v>26</v>
      </c>
      <c r="E38" s="31"/>
      <c r="F38">
        <f t="shared" si="0"/>
        <v>19.5</v>
      </c>
      <c r="G38">
        <f t="shared" si="0"/>
        <v>24</v>
      </c>
      <c r="H38" s="31"/>
      <c r="I38">
        <f t="shared" si="1"/>
        <v>21.75</v>
      </c>
      <c r="J38">
        <f t="shared" si="2"/>
        <v>25</v>
      </c>
      <c r="K38" s="31"/>
      <c r="L38">
        <f>IF(A38='State Detail'!BM$7,1,0)</f>
        <v>0</v>
      </c>
      <c r="M38" s="24" t="e">
        <f t="shared" si="3"/>
        <v>#N/A</v>
      </c>
      <c r="N38" s="24" t="e">
        <f t="shared" si="4"/>
        <v>#N/A</v>
      </c>
      <c r="O38" s="31"/>
      <c r="P38">
        <f>_xlfn.RANK.AVG(RawData[[#This Row],[PBF]],RawData[PBF],0)</f>
        <v>11</v>
      </c>
      <c r="Q38">
        <f>_xlfn.RANK.AVG(RawData[[#This Row],[PBF as a % of Total Public Operating]],RawData[PBF as a % of Total Public Operating],0)</f>
        <v>7</v>
      </c>
    </row>
    <row r="39" spans="1:17" x14ac:dyDescent="0.35">
      <c r="A39" s="29" t="s">
        <v>146</v>
      </c>
      <c r="B39" s="30" t="s">
        <v>147</v>
      </c>
      <c r="C39">
        <f>_xlfn.RANK.AVG(RawData[[#This Row],[Opportunity for continued engagement]],RawData[Opportunity for continued engagement],0)</f>
        <v>6</v>
      </c>
      <c r="D39">
        <f>_xlfn.RANK.AVG(RawData[[#This Row],[Opportunity to leverage existing policies and initiatives]],RawData[Opportunity to leverage existing policies and initiatives],0)</f>
        <v>36.5</v>
      </c>
      <c r="E39" s="31"/>
      <c r="F39">
        <f t="shared" si="0"/>
        <v>44</v>
      </c>
      <c r="G39">
        <f t="shared" si="0"/>
        <v>13.5</v>
      </c>
      <c r="H39" s="31"/>
      <c r="I39">
        <f t="shared" si="1"/>
        <v>28.75</v>
      </c>
      <c r="J39">
        <f t="shared" si="2"/>
        <v>15</v>
      </c>
      <c r="K39" s="31"/>
      <c r="L39">
        <f>IF(A39='State Detail'!BM$7,1,0)</f>
        <v>0</v>
      </c>
      <c r="M39" s="24" t="e">
        <f t="shared" si="3"/>
        <v>#N/A</v>
      </c>
      <c r="N39" s="24" t="e">
        <f t="shared" si="4"/>
        <v>#N/A</v>
      </c>
      <c r="O39" s="31"/>
      <c r="P39">
        <f>_xlfn.RANK.AVG(RawData[[#This Row],[PBF]],RawData[PBF],0)</f>
        <v>40</v>
      </c>
      <c r="Q39">
        <f>_xlfn.RANK.AVG(RawData[[#This Row],[PBF as a % of Total Public Operating]],RawData[PBF as a % of Total Public Operating],0)</f>
        <v>39.5</v>
      </c>
    </row>
    <row r="40" spans="1:17" x14ac:dyDescent="0.35">
      <c r="A40" s="29" t="s">
        <v>148</v>
      </c>
      <c r="B40" s="30" t="s">
        <v>149</v>
      </c>
      <c r="C40">
        <f>_xlfn.RANK.AVG(RawData[[#This Row],[Opportunity for continued engagement]],RawData[Opportunity for continued engagement],0)</f>
        <v>30.5</v>
      </c>
      <c r="D40">
        <f>_xlfn.RANK.AVG(RawData[[#This Row],[Opportunity to leverage existing policies and initiatives]],RawData[Opportunity to leverage existing policies and initiatives],0)</f>
        <v>36.5</v>
      </c>
      <c r="E40" s="31"/>
      <c r="F40">
        <f t="shared" si="0"/>
        <v>19.5</v>
      </c>
      <c r="G40">
        <f t="shared" si="0"/>
        <v>13.5</v>
      </c>
      <c r="H40" s="31"/>
      <c r="I40">
        <f t="shared" si="1"/>
        <v>16.5</v>
      </c>
      <c r="J40">
        <f t="shared" si="2"/>
        <v>35</v>
      </c>
      <c r="K40" s="31"/>
      <c r="L40">
        <f>IF(A40='State Detail'!BM$7,1,0)</f>
        <v>0</v>
      </c>
      <c r="M40" s="24" t="e">
        <f t="shared" si="3"/>
        <v>#N/A</v>
      </c>
      <c r="N40" s="24" t="e">
        <f t="shared" si="4"/>
        <v>#N/A</v>
      </c>
      <c r="O40" s="31"/>
      <c r="P40">
        <f>_xlfn.RANK.AVG(RawData[[#This Row],[PBF]],RawData[PBF],0)</f>
        <v>40</v>
      </c>
      <c r="Q40">
        <f>_xlfn.RANK.AVG(RawData[[#This Row],[PBF as a % of Total Public Operating]],RawData[PBF as a % of Total Public Operating],0)</f>
        <v>39.5</v>
      </c>
    </row>
    <row r="41" spans="1:17" x14ac:dyDescent="0.35">
      <c r="A41" s="29" t="s">
        <v>150</v>
      </c>
      <c r="B41" s="30" t="s">
        <v>151</v>
      </c>
      <c r="C41">
        <f>_xlfn.RANK.AVG(RawData[[#This Row],[Opportunity for continued engagement]],RawData[Opportunity for continued engagement],0)</f>
        <v>30.5</v>
      </c>
      <c r="D41">
        <f>_xlfn.RANK.AVG(RawData[[#This Row],[Opportunity to leverage existing policies and initiatives]],RawData[Opportunity to leverage existing policies and initiatives],0)</f>
        <v>15</v>
      </c>
      <c r="E41" s="31"/>
      <c r="F41">
        <f t="shared" si="0"/>
        <v>19.5</v>
      </c>
      <c r="G41">
        <f t="shared" si="0"/>
        <v>35</v>
      </c>
      <c r="H41" s="31"/>
      <c r="I41">
        <f t="shared" si="1"/>
        <v>27.25</v>
      </c>
      <c r="J41">
        <f t="shared" si="2"/>
        <v>17</v>
      </c>
      <c r="K41" s="31"/>
      <c r="L41">
        <f>IF(A41='State Detail'!BM$7,1,0)</f>
        <v>0</v>
      </c>
      <c r="M41" s="24" t="e">
        <f t="shared" si="3"/>
        <v>#N/A</v>
      </c>
      <c r="N41" s="24" t="e">
        <f t="shared" si="4"/>
        <v>#N/A</v>
      </c>
      <c r="O41" s="31"/>
      <c r="P41">
        <f>_xlfn.RANK.AVG(RawData[[#This Row],[PBF]],RawData[PBF],0)</f>
        <v>26</v>
      </c>
      <c r="Q41">
        <f>_xlfn.RANK.AVG(RawData[[#This Row],[PBF as a % of Total Public Operating]],RawData[PBF as a % of Total Public Operating],0)</f>
        <v>26</v>
      </c>
    </row>
    <row r="42" spans="1:17" x14ac:dyDescent="0.35">
      <c r="A42" s="29" t="s">
        <v>153</v>
      </c>
      <c r="B42" s="30" t="s">
        <v>154</v>
      </c>
      <c r="C42">
        <f>_xlfn.RANK.AVG(RawData[[#This Row],[Opportunity for continued engagement]],RawData[Opportunity for continued engagement],0)</f>
        <v>30.5</v>
      </c>
      <c r="D42">
        <f>_xlfn.RANK.AVG(RawData[[#This Row],[Opportunity to leverage existing policies and initiatives]],RawData[Opportunity to leverage existing policies and initiatives],0)</f>
        <v>44.5</v>
      </c>
      <c r="E42" s="31"/>
      <c r="F42">
        <f t="shared" si="0"/>
        <v>19.5</v>
      </c>
      <c r="G42">
        <f t="shared" si="0"/>
        <v>5.5</v>
      </c>
      <c r="H42" s="31"/>
      <c r="I42">
        <f t="shared" si="1"/>
        <v>12.5</v>
      </c>
      <c r="J42">
        <f t="shared" si="2"/>
        <v>43</v>
      </c>
      <c r="K42" s="31"/>
      <c r="L42">
        <f>IF(A42='State Detail'!BM$7,1,0)</f>
        <v>0</v>
      </c>
      <c r="M42" s="24" t="e">
        <f t="shared" si="3"/>
        <v>#N/A</v>
      </c>
      <c r="N42" s="24" t="e">
        <f t="shared" si="4"/>
        <v>#N/A</v>
      </c>
      <c r="O42" s="31"/>
      <c r="P42">
        <f>_xlfn.RANK.AVG(RawData[[#This Row],[PBF]],RawData[PBF],0)</f>
        <v>40</v>
      </c>
      <c r="Q42">
        <f>_xlfn.RANK.AVG(RawData[[#This Row],[PBF as a % of Total Public Operating]],RawData[PBF as a % of Total Public Operating],0)</f>
        <v>39.5</v>
      </c>
    </row>
    <row r="43" spans="1:17" x14ac:dyDescent="0.35">
      <c r="A43" s="29" t="s">
        <v>155</v>
      </c>
      <c r="B43" s="30" t="s">
        <v>156</v>
      </c>
      <c r="C43">
        <f>_xlfn.RANK.AVG(RawData[[#This Row],[Opportunity for continued engagement]],RawData[Opportunity for continued engagement],0)</f>
        <v>6</v>
      </c>
      <c r="D43">
        <f>_xlfn.RANK.AVG(RawData[[#This Row],[Opportunity to leverage existing policies and initiatives]],RawData[Opportunity to leverage existing policies and initiatives],0)</f>
        <v>5</v>
      </c>
      <c r="E43" s="31"/>
      <c r="F43">
        <f t="shared" si="0"/>
        <v>44</v>
      </c>
      <c r="G43">
        <f t="shared" si="0"/>
        <v>45</v>
      </c>
      <c r="H43" s="31"/>
      <c r="I43">
        <f t="shared" si="1"/>
        <v>44.5</v>
      </c>
      <c r="J43">
        <f t="shared" si="2"/>
        <v>1</v>
      </c>
      <c r="K43" s="31"/>
      <c r="L43">
        <f>IF(A43='State Detail'!BM$7,1,0)</f>
        <v>0</v>
      </c>
      <c r="M43" s="24" t="e">
        <f t="shared" si="3"/>
        <v>#N/A</v>
      </c>
      <c r="N43" s="24" t="e">
        <f t="shared" si="4"/>
        <v>#N/A</v>
      </c>
      <c r="O43" s="31"/>
      <c r="P43">
        <f>_xlfn.RANK.AVG(RawData[[#This Row],[PBF]],RawData[PBF],0)</f>
        <v>3</v>
      </c>
      <c r="Q43">
        <f>_xlfn.RANK.AVG(RawData[[#This Row],[PBF as a % of Total Public Operating]],RawData[PBF as a % of Total Public Operating],0)</f>
        <v>4</v>
      </c>
    </row>
    <row r="44" spans="1:17" x14ac:dyDescent="0.35">
      <c r="A44" s="29" t="s">
        <v>158</v>
      </c>
      <c r="B44" s="30" t="s">
        <v>159</v>
      </c>
      <c r="C44">
        <f>_xlfn.RANK.AVG(RawData[[#This Row],[Opportunity for continued engagement]],RawData[Opportunity for continued engagement],0)</f>
        <v>30.5</v>
      </c>
      <c r="D44">
        <f>_xlfn.RANK.AVG(RawData[[#This Row],[Opportunity to leverage existing policies and initiatives]],RawData[Opportunity to leverage existing policies and initiatives],0)</f>
        <v>26</v>
      </c>
      <c r="E44" s="31"/>
      <c r="F44">
        <f t="shared" si="0"/>
        <v>19.5</v>
      </c>
      <c r="G44">
        <f t="shared" si="0"/>
        <v>24</v>
      </c>
      <c r="H44" s="31"/>
      <c r="I44">
        <f t="shared" si="1"/>
        <v>21.75</v>
      </c>
      <c r="J44">
        <f t="shared" si="2"/>
        <v>25</v>
      </c>
      <c r="K44" s="31"/>
      <c r="L44">
        <f>IF(A44='State Detail'!BM$7,1,0)</f>
        <v>0</v>
      </c>
      <c r="M44" s="24" t="e">
        <f t="shared" si="3"/>
        <v>#N/A</v>
      </c>
      <c r="N44" s="24" t="e">
        <f t="shared" si="4"/>
        <v>#N/A</v>
      </c>
      <c r="O44" s="31"/>
      <c r="P44">
        <f>_xlfn.RANK.AVG(RawData[[#This Row],[PBF]],RawData[PBF],0)</f>
        <v>2</v>
      </c>
      <c r="Q44">
        <f>_xlfn.RANK.AVG(RawData[[#This Row],[PBF as a % of Total Public Operating]],RawData[PBF as a % of Total Public Operating],0)</f>
        <v>9</v>
      </c>
    </row>
    <row r="45" spans="1:17" x14ac:dyDescent="0.35">
      <c r="A45" s="29" t="s">
        <v>161</v>
      </c>
      <c r="B45" s="30" t="s">
        <v>162</v>
      </c>
      <c r="C45">
        <f>_xlfn.RANK.AVG(RawData[[#This Row],[Opportunity for continued engagement]],RawData[Opportunity for continued engagement],0)</f>
        <v>30.5</v>
      </c>
      <c r="D45">
        <f>_xlfn.RANK.AVG(RawData[[#This Row],[Opportunity to leverage existing policies and initiatives]],RawData[Opportunity to leverage existing policies and initiatives],0)</f>
        <v>26</v>
      </c>
      <c r="E45" s="31"/>
      <c r="F45">
        <f t="shared" si="0"/>
        <v>19.5</v>
      </c>
      <c r="G45">
        <f t="shared" si="0"/>
        <v>24</v>
      </c>
      <c r="H45" s="31"/>
      <c r="I45">
        <f t="shared" si="1"/>
        <v>21.75</v>
      </c>
      <c r="J45">
        <f t="shared" si="2"/>
        <v>25</v>
      </c>
      <c r="K45" s="31"/>
      <c r="L45">
        <f>IF(A45='State Detail'!BM$7,1,0)</f>
        <v>0</v>
      </c>
      <c r="M45" s="24" t="e">
        <f t="shared" si="3"/>
        <v>#N/A</v>
      </c>
      <c r="N45" s="24" t="e">
        <f t="shared" si="4"/>
        <v>#N/A</v>
      </c>
      <c r="O45" s="31"/>
      <c r="P45">
        <f>_xlfn.RANK.AVG(RawData[[#This Row],[PBF]],RawData[PBF],0)</f>
        <v>19</v>
      </c>
      <c r="Q45">
        <f>_xlfn.RANK.AVG(RawData[[#This Row],[PBF as a % of Total Public Operating]],RawData[PBF as a % of Total Public Operating],0)</f>
        <v>19.5</v>
      </c>
    </row>
    <row r="46" spans="1:17" x14ac:dyDescent="0.35">
      <c r="A46" s="29" t="s">
        <v>163</v>
      </c>
      <c r="B46" s="30" t="s">
        <v>164</v>
      </c>
      <c r="C46">
        <f>_xlfn.RANK.AVG(RawData[[#This Row],[Opportunity for continued engagement]],RawData[Opportunity for continued engagement],0)</f>
        <v>30.5</v>
      </c>
      <c r="D46">
        <f>_xlfn.RANK.AVG(RawData[[#This Row],[Opportunity to leverage existing policies and initiatives]],RawData[Opportunity to leverage existing policies and initiatives],0)</f>
        <v>44.5</v>
      </c>
      <c r="E46" s="31"/>
      <c r="F46">
        <f t="shared" si="0"/>
        <v>19.5</v>
      </c>
      <c r="G46">
        <f t="shared" si="0"/>
        <v>5.5</v>
      </c>
      <c r="H46" s="31"/>
      <c r="I46">
        <f t="shared" si="1"/>
        <v>12.5</v>
      </c>
      <c r="J46">
        <f t="shared" si="2"/>
        <v>43</v>
      </c>
      <c r="K46" s="31"/>
      <c r="L46">
        <f>IF(A46='State Detail'!BM$7,1,0)</f>
        <v>0</v>
      </c>
      <c r="M46" s="24" t="e">
        <f t="shared" si="3"/>
        <v>#N/A</v>
      </c>
      <c r="N46" s="24" t="e">
        <f t="shared" si="4"/>
        <v>#N/A</v>
      </c>
      <c r="O46" s="31"/>
      <c r="P46">
        <f>_xlfn.RANK.AVG(RawData[[#This Row],[PBF]],RawData[PBF],0)</f>
        <v>40</v>
      </c>
      <c r="Q46">
        <f>_xlfn.RANK.AVG(RawData[[#This Row],[PBF as a % of Total Public Operating]],RawData[PBF as a % of Total Public Operating],0)</f>
        <v>39.5</v>
      </c>
    </row>
    <row r="47" spans="1:17" x14ac:dyDescent="0.35">
      <c r="A47" s="29" t="s">
        <v>165</v>
      </c>
      <c r="B47" s="30" t="s">
        <v>166</v>
      </c>
      <c r="C47">
        <f>_xlfn.RANK.AVG(RawData[[#This Row],[Opportunity for continued engagement]],RawData[Opportunity for continued engagement],0)</f>
        <v>30.5</v>
      </c>
      <c r="D47">
        <f>_xlfn.RANK.AVG(RawData[[#This Row],[Opportunity to leverage existing policies and initiatives]],RawData[Opportunity to leverage existing policies and initiatives],0)</f>
        <v>26</v>
      </c>
      <c r="E47" s="31"/>
      <c r="F47">
        <f t="shared" si="0"/>
        <v>19.5</v>
      </c>
      <c r="G47">
        <f t="shared" si="0"/>
        <v>24</v>
      </c>
      <c r="H47" s="31"/>
      <c r="I47">
        <f t="shared" si="1"/>
        <v>21.75</v>
      </c>
      <c r="J47">
        <f t="shared" si="2"/>
        <v>25</v>
      </c>
      <c r="K47" s="31"/>
      <c r="L47">
        <f>IF(A47='State Detail'!BM$7,1,0)</f>
        <v>0</v>
      </c>
      <c r="M47" s="24" t="e">
        <f t="shared" si="3"/>
        <v>#N/A</v>
      </c>
      <c r="N47" s="24" t="e">
        <f t="shared" si="4"/>
        <v>#N/A</v>
      </c>
      <c r="O47" s="31"/>
      <c r="P47">
        <f>_xlfn.RANK.AVG(RawData[[#This Row],[PBF]],RawData[PBF],0)</f>
        <v>40</v>
      </c>
      <c r="Q47">
        <f>_xlfn.RANK.AVG(RawData[[#This Row],[PBF as a % of Total Public Operating]],RawData[PBF as a % of Total Public Operating],0)</f>
        <v>39.5</v>
      </c>
    </row>
    <row r="48" spans="1:17" x14ac:dyDescent="0.35">
      <c r="A48" s="29" t="s">
        <v>167</v>
      </c>
      <c r="B48" s="30" t="s">
        <v>168</v>
      </c>
      <c r="C48">
        <f>_xlfn.RANK.AVG(RawData[[#This Row],[Opportunity for continued engagement]],RawData[Opportunity for continued engagement],0)</f>
        <v>6</v>
      </c>
      <c r="D48">
        <f>_xlfn.RANK.AVG(RawData[[#This Row],[Opportunity to leverage existing policies and initiatives]],RawData[Opportunity to leverage existing policies and initiatives],0)</f>
        <v>15</v>
      </c>
      <c r="E48" s="31"/>
      <c r="F48">
        <f t="shared" si="0"/>
        <v>44</v>
      </c>
      <c r="G48">
        <f t="shared" si="0"/>
        <v>35</v>
      </c>
      <c r="H48" s="31"/>
      <c r="I48">
        <f t="shared" si="1"/>
        <v>39.5</v>
      </c>
      <c r="J48">
        <f t="shared" si="2"/>
        <v>4</v>
      </c>
      <c r="K48" s="31"/>
      <c r="L48">
        <f>IF(A48='State Detail'!BM$7,1,0)</f>
        <v>0</v>
      </c>
      <c r="M48" s="24" t="e">
        <f t="shared" si="3"/>
        <v>#N/A</v>
      </c>
      <c r="N48" s="24" t="e">
        <f t="shared" si="4"/>
        <v>#N/A</v>
      </c>
      <c r="O48" s="31"/>
      <c r="P48">
        <f>_xlfn.RANK.AVG(RawData[[#This Row],[PBF]],RawData[PBF],0)</f>
        <v>14</v>
      </c>
      <c r="Q48">
        <f>_xlfn.RANK.AVG(RawData[[#This Row],[PBF as a % of Total Public Operating]],RawData[PBF as a % of Total Public Operating],0)</f>
        <v>18</v>
      </c>
    </row>
    <row r="49" spans="1:17" x14ac:dyDescent="0.35">
      <c r="A49" s="29" t="s">
        <v>170</v>
      </c>
      <c r="B49" s="30" t="s">
        <v>171</v>
      </c>
      <c r="C49">
        <f>_xlfn.RANK.AVG(RawData[[#This Row],[Opportunity for continued engagement]],RawData[Opportunity for continued engagement],0)</f>
        <v>6</v>
      </c>
      <c r="D49">
        <f>_xlfn.RANK.AVG(RawData[[#This Row],[Opportunity to leverage existing policies and initiatives]],RawData[Opportunity to leverage existing policies and initiatives],0)</f>
        <v>26</v>
      </c>
      <c r="E49" s="31"/>
      <c r="F49">
        <f t="shared" si="0"/>
        <v>44</v>
      </c>
      <c r="G49">
        <f t="shared" si="0"/>
        <v>24</v>
      </c>
      <c r="H49" s="31"/>
      <c r="I49">
        <f t="shared" si="1"/>
        <v>34</v>
      </c>
      <c r="J49">
        <f t="shared" si="2"/>
        <v>7</v>
      </c>
      <c r="K49" s="31"/>
      <c r="L49">
        <f>IF(A49='State Detail'!BM$7,1,0)</f>
        <v>0</v>
      </c>
      <c r="M49" s="24" t="e">
        <f t="shared" si="3"/>
        <v>#N/A</v>
      </c>
      <c r="N49" s="24" t="e">
        <f t="shared" si="4"/>
        <v>#N/A</v>
      </c>
      <c r="O49" s="31"/>
      <c r="P49">
        <f>_xlfn.RANK.AVG(RawData[[#This Row],[PBF]],RawData[PBF],0)</f>
        <v>40</v>
      </c>
      <c r="Q49">
        <f>_xlfn.RANK.AVG(RawData[[#This Row],[PBF as a % of Total Public Operating]],RawData[PBF as a % of Total Public Operating],0)</f>
        <v>39.5</v>
      </c>
    </row>
    <row r="50" spans="1:17" x14ac:dyDescent="0.35">
      <c r="A50" s="29" t="s">
        <v>173</v>
      </c>
      <c r="B50" s="30" t="s">
        <v>174</v>
      </c>
      <c r="C50">
        <f>_xlfn.RANK.AVG(RawData[[#This Row],[Opportunity for continued engagement]],RawData[Opportunity for continued engagement],0)</f>
        <v>30.5</v>
      </c>
      <c r="D50">
        <f>_xlfn.RANK.AVG(RawData[[#This Row],[Opportunity to leverage existing policies and initiatives]],RawData[Opportunity to leverage existing policies and initiatives],0)</f>
        <v>26</v>
      </c>
      <c r="E50" s="31"/>
      <c r="F50">
        <f t="shared" si="0"/>
        <v>19.5</v>
      </c>
      <c r="G50">
        <f t="shared" si="0"/>
        <v>24</v>
      </c>
      <c r="H50" s="31"/>
      <c r="I50">
        <f t="shared" si="1"/>
        <v>21.75</v>
      </c>
      <c r="J50">
        <f t="shared" si="2"/>
        <v>25</v>
      </c>
      <c r="K50" s="31"/>
      <c r="L50">
        <f>IF(A50='State Detail'!BM$7,1,0)</f>
        <v>0</v>
      </c>
      <c r="M50" s="24" t="e">
        <f t="shared" si="3"/>
        <v>#N/A</v>
      </c>
      <c r="N50" s="24" t="e">
        <f t="shared" si="4"/>
        <v>#N/A</v>
      </c>
      <c r="O50" s="31"/>
      <c r="P50">
        <f>_xlfn.RANK.AVG(RawData[[#This Row],[PBF]],RawData[PBF],0)</f>
        <v>18</v>
      </c>
      <c r="Q50">
        <f>_xlfn.RANK.AVG(RawData[[#This Row],[PBF as a % of Total Public Operating]],RawData[PBF as a % of Total Public Operating],0)</f>
        <v>21.5</v>
      </c>
    </row>
    <row r="51" spans="1:17" x14ac:dyDescent="0.35">
      <c r="A51" s="29" t="s">
        <v>175</v>
      </c>
      <c r="B51" s="30" t="s">
        <v>176</v>
      </c>
      <c r="C51">
        <f>_xlfn.RANK.AVG(RawData[[#This Row],[Opportunity for continued engagement]],RawData[Opportunity for continued engagement],0)</f>
        <v>30.5</v>
      </c>
      <c r="D51">
        <f>_xlfn.RANK.AVG(RawData[[#This Row],[Opportunity to leverage existing policies and initiatives]],RawData[Opportunity to leverage existing policies and initiatives],0)</f>
        <v>15</v>
      </c>
      <c r="E51" s="31"/>
      <c r="F51">
        <f t="shared" si="0"/>
        <v>19.5</v>
      </c>
      <c r="G51">
        <f t="shared" si="0"/>
        <v>35</v>
      </c>
      <c r="H51" s="31"/>
      <c r="I51">
        <f t="shared" si="1"/>
        <v>27.25</v>
      </c>
      <c r="J51">
        <f t="shared" si="2"/>
        <v>17</v>
      </c>
      <c r="K51" s="31"/>
      <c r="L51">
        <f>IF(A51='State Detail'!BM$7,1,0)</f>
        <v>0</v>
      </c>
      <c r="M51" s="24" t="e">
        <f t="shared" si="3"/>
        <v>#N/A</v>
      </c>
      <c r="N51" s="24" t="e">
        <f t="shared" si="4"/>
        <v>#N/A</v>
      </c>
      <c r="O51" s="31"/>
      <c r="P51">
        <f>_xlfn.RANK.AVG(RawData[[#This Row],[PBF]],RawData[PBF],0)</f>
        <v>23</v>
      </c>
      <c r="Q51">
        <f>_xlfn.RANK.AVG(RawData[[#This Row],[PBF as a % of Total Public Operating]],RawData[PBF as a % of Total Public Operating],0)</f>
        <v>13</v>
      </c>
    </row>
    <row r="53" spans="1:17" x14ac:dyDescent="0.35">
      <c r="A53" t="s">
        <v>177</v>
      </c>
      <c r="C53" s="32">
        <f>AVERAGE(C2:C51)</f>
        <v>25.5</v>
      </c>
      <c r="D53" s="32">
        <f>AVERAGE(D2:D51)</f>
        <v>25.5</v>
      </c>
      <c r="E53" s="33"/>
      <c r="F53" s="32">
        <f>AVERAGE(F2:F51)</f>
        <v>24.5</v>
      </c>
      <c r="G53" s="32">
        <f>AVERAGE(G2:G51)</f>
        <v>24.5</v>
      </c>
      <c r="H53" s="33"/>
      <c r="I53" s="32">
        <f>AVERAGE(I2:I51)</f>
        <v>24.5</v>
      </c>
      <c r="J53" s="32">
        <f>AVERAGE(J2:J51)</f>
        <v>23.12</v>
      </c>
      <c r="K53" s="33"/>
      <c r="O53" s="33"/>
      <c r="P53" s="32">
        <f>AVERAGE(P2:P51)</f>
        <v>25.5</v>
      </c>
      <c r="Q53" s="32">
        <f>AVERAGE(Q2:Q51)</f>
        <v>25.5</v>
      </c>
    </row>
    <row r="54" spans="1:17" x14ac:dyDescent="0.35">
      <c r="A54" t="s">
        <v>178</v>
      </c>
      <c r="C54" s="32">
        <f>_xlfn.STDEV.P(C2:C51)</f>
        <v>10.707940978544848</v>
      </c>
      <c r="D54" s="32">
        <f>_xlfn.STDEV.P(D2:D51)</f>
        <v>14.164744967700619</v>
      </c>
      <c r="E54" s="33"/>
      <c r="F54" s="32">
        <f>_xlfn.STDEV.P(F2:F51)</f>
        <v>10.707940978544848</v>
      </c>
      <c r="G54" s="32">
        <f>_xlfn.STDEV.P(G2:G51)</f>
        <v>14.164744967700619</v>
      </c>
      <c r="H54" s="33"/>
      <c r="I54" s="32">
        <f>_xlfn.STDEV.P(I2:I51)</f>
        <v>9.4484125650820303</v>
      </c>
      <c r="J54" s="32">
        <f>_xlfn.STDEV.P(J2:J51)</f>
        <v>14.065048880114139</v>
      </c>
      <c r="K54" s="33"/>
      <c r="O54" s="33"/>
      <c r="P54" s="32">
        <f>_xlfn.STDEV.P(P2:P51)</f>
        <v>13.887044321957067</v>
      </c>
      <c r="Q54" s="32">
        <f>_xlfn.STDEV.P(Q2:Q51)</f>
        <v>13.802898246382895</v>
      </c>
    </row>
    <row r="56" spans="1:17" x14ac:dyDescent="0.35">
      <c r="F56">
        <f>MIN(F2:F51)</f>
        <v>0</v>
      </c>
      <c r="G56">
        <f>MIN(G2:G51)</f>
        <v>0</v>
      </c>
    </row>
    <row r="57" spans="1:17" x14ac:dyDescent="0.35">
      <c r="F57">
        <f>MAX(F2:F51)</f>
        <v>44</v>
      </c>
      <c r="G57">
        <f>MAX(G2:G51)</f>
        <v>45</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627219-8CBB-416C-9127-A0AEE3FABE1F}">
  <dimension ref="A1:H67"/>
  <sheetViews>
    <sheetView topLeftCell="A10" zoomScale="85" zoomScaleNormal="65" workbookViewId="0">
      <selection activeCell="G15" sqref="G15"/>
    </sheetView>
  </sheetViews>
  <sheetFormatPr defaultColWidth="15.6328125" defaultRowHeight="15" customHeight="1" x14ac:dyDescent="0.35"/>
  <cols>
    <col min="1" max="1" width="15.6328125" style="38"/>
    <col min="2" max="2" width="25.6328125" style="38" customWidth="1"/>
    <col min="3" max="6" width="20.6328125" style="38" customWidth="1"/>
  </cols>
  <sheetData>
    <row r="1" spans="1:8" ht="15" customHeight="1" x14ac:dyDescent="0.35">
      <c r="A1" s="245" t="s">
        <v>230</v>
      </c>
      <c r="B1" s="236"/>
      <c r="C1" s="236"/>
      <c r="D1" s="236"/>
      <c r="E1" s="236"/>
      <c r="F1" s="236"/>
    </row>
    <row r="2" spans="1:8" ht="15" customHeight="1" x14ac:dyDescent="0.35">
      <c r="A2" s="236"/>
      <c r="B2" s="236"/>
      <c r="C2" s="236"/>
      <c r="D2" s="236"/>
      <c r="E2" s="236"/>
      <c r="F2" s="236"/>
    </row>
    <row r="3" spans="1:8" ht="15" customHeight="1" x14ac:dyDescent="0.35">
      <c r="A3" s="236"/>
      <c r="B3" s="236"/>
      <c r="C3" s="236"/>
      <c r="D3" s="236"/>
      <c r="E3" s="236"/>
      <c r="F3" s="236"/>
    </row>
    <row r="4" spans="1:8" ht="15" customHeight="1" x14ac:dyDescent="0.35">
      <c r="A4" s="236"/>
      <c r="B4" s="236"/>
      <c r="C4" s="236"/>
      <c r="D4" s="236"/>
      <c r="E4" s="236"/>
      <c r="F4" s="236"/>
    </row>
    <row r="5" spans="1:8" ht="15" customHeight="1" x14ac:dyDescent="0.35">
      <c r="A5" s="246" t="s">
        <v>231</v>
      </c>
      <c r="B5" s="246"/>
      <c r="C5" s="246"/>
      <c r="D5" s="246"/>
      <c r="E5" s="246"/>
      <c r="F5" s="246"/>
    </row>
    <row r="6" spans="1:8" ht="15" customHeight="1" x14ac:dyDescent="0.35">
      <c r="A6" s="246"/>
      <c r="B6" s="246"/>
      <c r="C6" s="246"/>
      <c r="D6" s="246"/>
      <c r="E6" s="246"/>
      <c r="F6" s="246"/>
    </row>
    <row r="7" spans="1:8" ht="15" customHeight="1" x14ac:dyDescent="0.35">
      <c r="A7" s="246"/>
      <c r="B7" s="246"/>
      <c r="C7" s="246"/>
      <c r="D7" s="246"/>
      <c r="E7" s="246"/>
      <c r="F7" s="246"/>
    </row>
    <row r="8" spans="1:8" ht="15" customHeight="1" x14ac:dyDescent="0.35">
      <c r="A8" s="246"/>
      <c r="B8" s="246"/>
      <c r="C8" s="246"/>
      <c r="D8" s="246"/>
      <c r="E8" s="246"/>
      <c r="F8" s="246"/>
    </row>
    <row r="11" spans="1:8" ht="15" customHeight="1" x14ac:dyDescent="0.35">
      <c r="A11" s="235" t="s">
        <v>21</v>
      </c>
      <c r="B11" s="235"/>
      <c r="C11" s="235"/>
      <c r="D11" s="235"/>
      <c r="E11" s="235"/>
      <c r="F11" s="235"/>
    </row>
    <row r="12" spans="1:8" ht="15" customHeight="1" x14ac:dyDescent="0.35">
      <c r="A12" s="235"/>
      <c r="B12" s="235"/>
      <c r="C12" s="235"/>
      <c r="D12" s="235"/>
      <c r="E12" s="235"/>
      <c r="F12" s="235"/>
    </row>
    <row r="13" spans="1:8" ht="31" customHeight="1" x14ac:dyDescent="0.35">
      <c r="B13" s="44" t="s">
        <v>221</v>
      </c>
      <c r="C13" s="45">
        <v>1</v>
      </c>
      <c r="D13" s="45">
        <v>0</v>
      </c>
      <c r="E13" s="45">
        <v>0</v>
      </c>
      <c r="F13" s="45">
        <v>0</v>
      </c>
    </row>
    <row r="15" spans="1:8" ht="69.5" customHeight="1" x14ac:dyDescent="0.35">
      <c r="A15" s="42" t="s">
        <v>19</v>
      </c>
      <c r="B15" s="42" t="s">
        <v>20</v>
      </c>
      <c r="C15" s="43" t="s">
        <v>224</v>
      </c>
      <c r="D15" s="43" t="s">
        <v>225</v>
      </c>
      <c r="E15" s="43" t="s">
        <v>226</v>
      </c>
      <c r="F15" s="43" t="s">
        <v>227</v>
      </c>
      <c r="G15" s="47" t="s">
        <v>223</v>
      </c>
      <c r="H15" s="47" t="s">
        <v>19</v>
      </c>
    </row>
    <row r="16" spans="1:8" ht="15" customHeight="1" x14ac:dyDescent="0.35">
      <c r="A16" s="38" cm="1">
        <f t="array" ref="A16:F65">IF(C13+D13+E13+F13=1,_xlfn._xlws.SORT('Int Data - Summary'!A2:F51,1,1,FALSE),_xlfn._xlws.SORT('Int Data - Summary'!A53:B53,1,1,FALSE))</f>
        <v>1</v>
      </c>
      <c r="B16" s="41" t="str">
        <v>Alaska</v>
      </c>
      <c r="C16" s="39">
        <v>43.833333333333329</v>
      </c>
      <c r="D16" s="39">
        <v>27.75</v>
      </c>
      <c r="E16" s="39">
        <v>0</v>
      </c>
      <c r="F16" s="39">
        <v>9.75</v>
      </c>
      <c r="G16" s="46"/>
      <c r="H16" s="46"/>
    </row>
    <row r="17" spans="1:8" ht="15" customHeight="1" x14ac:dyDescent="0.35">
      <c r="A17" s="38">
        <v>2</v>
      </c>
      <c r="B17" s="41" t="str">
        <v>Kentucky</v>
      </c>
      <c r="C17" s="39">
        <v>41.291666666666671</v>
      </c>
      <c r="D17" s="39">
        <v>28.25</v>
      </c>
      <c r="E17" s="39">
        <v>9.8333333333333321</v>
      </c>
      <c r="F17" s="39">
        <v>32.25</v>
      </c>
      <c r="G17" s="46"/>
      <c r="H17" s="46"/>
    </row>
    <row r="18" spans="1:8" ht="15" customHeight="1" x14ac:dyDescent="0.35">
      <c r="A18" s="38">
        <v>3</v>
      </c>
      <c r="B18" s="41" t="str">
        <v>Louisiana</v>
      </c>
      <c r="C18" s="39">
        <v>40.333333333333329</v>
      </c>
      <c r="D18" s="39">
        <v>21.5</v>
      </c>
      <c r="E18" s="39">
        <v>28.333333333333332</v>
      </c>
      <c r="F18" s="39">
        <v>27.25</v>
      </c>
      <c r="G18" s="46"/>
      <c r="H18" s="46"/>
    </row>
    <row r="19" spans="1:8" ht="15" customHeight="1" x14ac:dyDescent="0.35">
      <c r="A19" s="38">
        <v>4</v>
      </c>
      <c r="B19" s="41" t="str">
        <v>Michigan</v>
      </c>
      <c r="C19" s="39">
        <v>38.333333333333329</v>
      </c>
      <c r="D19" s="39">
        <v>20</v>
      </c>
      <c r="E19" s="39">
        <v>29.166666666666664</v>
      </c>
      <c r="F19" s="39">
        <v>28.75</v>
      </c>
      <c r="G19" s="46"/>
      <c r="H19" s="46"/>
    </row>
    <row r="20" spans="1:8" ht="15" customHeight="1" x14ac:dyDescent="0.35">
      <c r="A20" s="38">
        <v>5</v>
      </c>
      <c r="B20" s="41" t="str">
        <v>California</v>
      </c>
      <c r="C20" s="39">
        <v>34.666666666666671</v>
      </c>
      <c r="D20" s="39">
        <v>41.75</v>
      </c>
      <c r="E20" s="39">
        <v>27</v>
      </c>
      <c r="F20" s="39">
        <v>34</v>
      </c>
      <c r="G20" s="46"/>
      <c r="H20" s="46"/>
    </row>
    <row r="21" spans="1:8" ht="15" customHeight="1" x14ac:dyDescent="0.35">
      <c r="A21" s="38">
        <v>6</v>
      </c>
      <c r="B21" s="41" t="str">
        <v>Oklahoma</v>
      </c>
      <c r="C21" s="39">
        <v>33.666666666666664</v>
      </c>
      <c r="D21" s="39">
        <v>18</v>
      </c>
      <c r="E21" s="39">
        <v>30</v>
      </c>
      <c r="F21" s="39">
        <v>17.5</v>
      </c>
      <c r="G21" s="46"/>
      <c r="H21" s="46"/>
    </row>
    <row r="22" spans="1:8" ht="15" customHeight="1" x14ac:dyDescent="0.35">
      <c r="A22" s="38">
        <v>7</v>
      </c>
      <c r="B22" s="41" t="str">
        <v>Nevada</v>
      </c>
      <c r="C22" s="39">
        <v>33.583333333333336</v>
      </c>
      <c r="D22" s="39">
        <v>13.25</v>
      </c>
      <c r="E22" s="39">
        <v>25.833333333333336</v>
      </c>
      <c r="F22" s="39">
        <v>32.25</v>
      </c>
      <c r="G22" s="46"/>
      <c r="H22" s="46"/>
    </row>
    <row r="23" spans="1:8" ht="15" customHeight="1" x14ac:dyDescent="0.35">
      <c r="A23" s="38">
        <v>8</v>
      </c>
      <c r="B23" s="41" t="str">
        <v>Indiana</v>
      </c>
      <c r="C23" s="39">
        <v>32.666666666666664</v>
      </c>
      <c r="D23" s="39">
        <v>23</v>
      </c>
      <c r="E23" s="39">
        <v>17.833333333333336</v>
      </c>
      <c r="F23" s="39">
        <v>32.25</v>
      </c>
      <c r="G23" s="46"/>
      <c r="H23" s="46"/>
    </row>
    <row r="24" spans="1:8" ht="15" customHeight="1" x14ac:dyDescent="0.35">
      <c r="A24" s="38">
        <v>9</v>
      </c>
      <c r="B24" s="41" t="str">
        <v>West Virginia</v>
      </c>
      <c r="C24" s="39">
        <v>32.25</v>
      </c>
      <c r="D24" s="39">
        <v>24.5</v>
      </c>
      <c r="E24" s="39">
        <v>34.666666666666671</v>
      </c>
      <c r="F24" s="39">
        <v>34</v>
      </c>
      <c r="G24" s="46"/>
      <c r="H24" s="46"/>
    </row>
    <row r="25" spans="1:8" ht="15" customHeight="1" x14ac:dyDescent="0.35">
      <c r="A25" s="38">
        <v>10</v>
      </c>
      <c r="B25" s="41" t="str">
        <v>Missouri</v>
      </c>
      <c r="C25" s="39">
        <v>32</v>
      </c>
      <c r="D25" s="39">
        <v>14</v>
      </c>
      <c r="E25" s="39">
        <v>23.5</v>
      </c>
      <c r="F25" s="39">
        <v>16.5</v>
      </c>
      <c r="G25" s="46"/>
      <c r="H25" s="46"/>
    </row>
    <row r="26" spans="1:8" ht="15" customHeight="1" x14ac:dyDescent="0.35">
      <c r="A26" s="38">
        <v>11</v>
      </c>
      <c r="B26" s="41" t="str">
        <v>New Mexico</v>
      </c>
      <c r="C26" s="39">
        <v>30.833333333333336</v>
      </c>
      <c r="D26" s="39">
        <v>36.5</v>
      </c>
      <c r="E26" s="39">
        <v>36.166666666666664</v>
      </c>
      <c r="F26" s="39">
        <v>27.25</v>
      </c>
      <c r="G26" s="46"/>
      <c r="H26" s="46"/>
    </row>
    <row r="27" spans="1:8" ht="15" customHeight="1" x14ac:dyDescent="0.35">
      <c r="A27" s="38">
        <v>12</v>
      </c>
      <c r="B27" s="41" t="str">
        <v>Pennsylvania</v>
      </c>
      <c r="C27" s="39">
        <v>29.833333333333336</v>
      </c>
      <c r="D27" s="39">
        <v>16.75</v>
      </c>
      <c r="E27" s="39">
        <v>36.666666666666664</v>
      </c>
      <c r="F27" s="39">
        <v>28.75</v>
      </c>
      <c r="G27" s="46"/>
      <c r="H27" s="46"/>
    </row>
    <row r="28" spans="1:8" ht="15" customHeight="1" x14ac:dyDescent="0.35">
      <c r="A28" s="38">
        <v>13</v>
      </c>
      <c r="B28" s="41" t="str">
        <v>Mississippi</v>
      </c>
      <c r="C28" s="39">
        <v>28.833333333333336</v>
      </c>
      <c r="D28" s="39">
        <v>23.25</v>
      </c>
      <c r="E28" s="39">
        <v>25.333333333333336</v>
      </c>
      <c r="F28" s="39">
        <v>16.5</v>
      </c>
      <c r="G28" s="46"/>
      <c r="H28" s="46"/>
    </row>
    <row r="29" spans="1:8" ht="15" customHeight="1" x14ac:dyDescent="0.35">
      <c r="A29" s="38">
        <v>14</v>
      </c>
      <c r="B29" s="41" t="str">
        <v>South Carolina</v>
      </c>
      <c r="C29" s="39">
        <v>28.583333333333332</v>
      </c>
      <c r="D29" s="39">
        <v>23.125</v>
      </c>
      <c r="E29" s="39">
        <v>23.166666666666668</v>
      </c>
      <c r="F29" s="39">
        <v>27.25</v>
      </c>
      <c r="G29" s="46"/>
      <c r="H29" s="46"/>
    </row>
    <row r="30" spans="1:8" ht="15" customHeight="1" x14ac:dyDescent="0.35">
      <c r="A30" s="38">
        <v>15</v>
      </c>
      <c r="B30" s="41" t="str">
        <v>Illinois</v>
      </c>
      <c r="C30" s="39">
        <v>28.5</v>
      </c>
      <c r="D30" s="39">
        <v>40.75</v>
      </c>
      <c r="E30" s="39">
        <v>24</v>
      </c>
      <c r="F30" s="39">
        <v>21.75</v>
      </c>
      <c r="G30" s="46"/>
      <c r="H30" s="46"/>
    </row>
    <row r="31" spans="1:8" ht="15" customHeight="1" x14ac:dyDescent="0.35">
      <c r="A31" s="38">
        <v>15</v>
      </c>
      <c r="B31" s="41" t="str">
        <v>Texas</v>
      </c>
      <c r="C31" s="39">
        <v>28.5</v>
      </c>
      <c r="D31" s="39">
        <v>31.5</v>
      </c>
      <c r="E31" s="39">
        <v>18.166666666666664</v>
      </c>
      <c r="F31" s="39">
        <v>21.75</v>
      </c>
      <c r="G31" s="46"/>
      <c r="H31" s="46"/>
    </row>
    <row r="32" spans="1:8" ht="15" customHeight="1" x14ac:dyDescent="0.35">
      <c r="A32" s="38">
        <v>17</v>
      </c>
      <c r="B32" s="41" t="str">
        <v>Oregon</v>
      </c>
      <c r="C32" s="39">
        <v>27.583333333333336</v>
      </c>
      <c r="D32" s="39">
        <v>25.75</v>
      </c>
      <c r="E32" s="39">
        <v>44.5</v>
      </c>
      <c r="F32" s="39">
        <v>21.75</v>
      </c>
      <c r="G32" s="46"/>
      <c r="H32" s="46"/>
    </row>
    <row r="33" spans="1:8" ht="15" customHeight="1" x14ac:dyDescent="0.35">
      <c r="A33" s="38">
        <v>18</v>
      </c>
      <c r="B33" s="41" t="str">
        <v>Arkansas</v>
      </c>
      <c r="C33" s="39">
        <v>26.916666666666668</v>
      </c>
      <c r="D33" s="39">
        <v>21.5</v>
      </c>
      <c r="E33" s="39">
        <v>28.166666666666664</v>
      </c>
      <c r="F33" s="39">
        <v>32.25</v>
      </c>
      <c r="G33" s="46"/>
      <c r="H33" s="46"/>
    </row>
    <row r="34" spans="1:8" ht="15" customHeight="1" x14ac:dyDescent="0.35">
      <c r="A34" s="38">
        <v>19</v>
      </c>
      <c r="B34" s="41" t="str">
        <v>New York</v>
      </c>
      <c r="C34" s="39">
        <v>26.208333333333336</v>
      </c>
      <c r="D34" s="39">
        <v>31</v>
      </c>
      <c r="E34" s="39">
        <v>40.333333333333336</v>
      </c>
      <c r="F34" s="39">
        <v>24.75</v>
      </c>
      <c r="G34" s="46"/>
      <c r="H34" s="46"/>
    </row>
    <row r="35" spans="1:8" ht="15" customHeight="1" x14ac:dyDescent="0.35">
      <c r="A35" s="38">
        <v>20</v>
      </c>
      <c r="B35" s="41" t="str">
        <v>Rhode Island</v>
      </c>
      <c r="C35" s="39">
        <v>25.333333333333336</v>
      </c>
      <c r="D35" s="39">
        <v>16.375</v>
      </c>
      <c r="E35" s="39">
        <v>30.833333333333332</v>
      </c>
      <c r="F35" s="39">
        <v>16.5</v>
      </c>
      <c r="G35" s="46"/>
      <c r="H35" s="46"/>
    </row>
    <row r="36" spans="1:8" ht="15" customHeight="1" x14ac:dyDescent="0.35">
      <c r="A36" s="38">
        <v>21</v>
      </c>
      <c r="B36" s="41" t="str">
        <v>Alabama</v>
      </c>
      <c r="C36" s="39">
        <v>25.041666666666664</v>
      </c>
      <c r="D36" s="39">
        <v>30</v>
      </c>
      <c r="E36" s="39">
        <v>19.833333333333336</v>
      </c>
      <c r="F36" s="39">
        <v>12.5</v>
      </c>
      <c r="G36" s="46"/>
      <c r="H36" s="46"/>
    </row>
    <row r="37" spans="1:8" ht="15" customHeight="1" x14ac:dyDescent="0.35">
      <c r="A37" s="38">
        <v>22</v>
      </c>
      <c r="B37" s="41" t="str">
        <v>Tennessee</v>
      </c>
      <c r="C37" s="39">
        <v>24.916666666666664</v>
      </c>
      <c r="D37" s="39">
        <v>31</v>
      </c>
      <c r="E37" s="39">
        <v>39.5</v>
      </c>
      <c r="F37" s="39">
        <v>44.5</v>
      </c>
      <c r="G37" s="46"/>
      <c r="H37" s="46"/>
    </row>
    <row r="38" spans="1:8" ht="15" customHeight="1" x14ac:dyDescent="0.35">
      <c r="A38" s="38">
        <v>23</v>
      </c>
      <c r="B38" s="41" t="str">
        <v>Wyoming</v>
      </c>
      <c r="C38" s="39">
        <v>24.25</v>
      </c>
      <c r="D38" s="39">
        <v>39.625</v>
      </c>
      <c r="E38" s="39">
        <v>22.666666666666664</v>
      </c>
      <c r="F38" s="39">
        <v>27.25</v>
      </c>
      <c r="G38" s="46"/>
      <c r="H38" s="46"/>
    </row>
    <row r="39" spans="1:8" ht="15" customHeight="1" x14ac:dyDescent="0.35">
      <c r="A39" s="38">
        <v>24</v>
      </c>
      <c r="B39" s="41" t="str">
        <v>Nebraska</v>
      </c>
      <c r="C39" s="39">
        <v>24.166666666666664</v>
      </c>
      <c r="D39" s="39">
        <v>29.25</v>
      </c>
      <c r="E39" s="39">
        <v>16</v>
      </c>
      <c r="F39" s="39">
        <v>10.5</v>
      </c>
      <c r="G39" s="46"/>
      <c r="H39" s="46"/>
    </row>
    <row r="40" spans="1:8" ht="15" customHeight="1" x14ac:dyDescent="0.35">
      <c r="A40" s="38">
        <v>25</v>
      </c>
      <c r="B40" s="41" t="str">
        <v>North Carolina</v>
      </c>
      <c r="C40" s="39">
        <v>23.583333333333336</v>
      </c>
      <c r="D40" s="39">
        <v>35.25</v>
      </c>
      <c r="E40" s="39">
        <v>15.5</v>
      </c>
      <c r="F40" s="39">
        <v>44.5</v>
      </c>
      <c r="G40" s="46"/>
      <c r="H40" s="46"/>
    </row>
    <row r="41" spans="1:8" ht="15" customHeight="1" x14ac:dyDescent="0.35">
      <c r="A41" s="38">
        <v>26</v>
      </c>
      <c r="B41" s="41" t="str">
        <v>Colorado</v>
      </c>
      <c r="C41" s="39">
        <v>23.083333333333336</v>
      </c>
      <c r="D41" s="39">
        <v>18.125</v>
      </c>
      <c r="E41" s="39">
        <v>23.5</v>
      </c>
      <c r="F41" s="39">
        <v>44.5</v>
      </c>
      <c r="G41" s="46"/>
      <c r="H41" s="46"/>
    </row>
    <row r="42" spans="1:8" ht="15" customHeight="1" x14ac:dyDescent="0.35">
      <c r="A42" s="38">
        <v>27</v>
      </c>
      <c r="B42" s="41" t="str">
        <v>Montana</v>
      </c>
      <c r="C42" s="39">
        <v>23.083333333333332</v>
      </c>
      <c r="D42" s="39">
        <v>7.5</v>
      </c>
      <c r="E42" s="39">
        <v>19.666666666666664</v>
      </c>
      <c r="F42" s="39">
        <v>27.25</v>
      </c>
      <c r="G42" s="46"/>
      <c r="H42" s="46"/>
    </row>
    <row r="43" spans="1:8" ht="15" customHeight="1" x14ac:dyDescent="0.35">
      <c r="A43" s="38">
        <v>28</v>
      </c>
      <c r="B43" s="41" t="str">
        <v>Florida</v>
      </c>
      <c r="C43" s="39">
        <v>22.833333333333336</v>
      </c>
      <c r="D43" s="39">
        <v>21</v>
      </c>
      <c r="E43" s="39">
        <v>19.833333333333332</v>
      </c>
      <c r="F43" s="39">
        <v>27.25</v>
      </c>
      <c r="G43" s="46"/>
      <c r="H43" s="46"/>
    </row>
    <row r="44" spans="1:8" ht="15" customHeight="1" x14ac:dyDescent="0.35">
      <c r="A44" s="38">
        <v>29</v>
      </c>
      <c r="B44" s="41" t="str">
        <v>Arizona</v>
      </c>
      <c r="C44" s="39">
        <v>22.666666666666664</v>
      </c>
      <c r="D44" s="39">
        <v>20.125</v>
      </c>
      <c r="E44" s="39">
        <v>30.666666666666664</v>
      </c>
      <c r="F44" s="39">
        <v>12.5</v>
      </c>
      <c r="G44" s="46"/>
      <c r="H44" s="46"/>
    </row>
    <row r="45" spans="1:8" ht="15" customHeight="1" x14ac:dyDescent="0.35">
      <c r="A45" s="38">
        <v>29</v>
      </c>
      <c r="B45" s="41" t="str">
        <v>Kansas</v>
      </c>
      <c r="C45" s="39">
        <v>22.666666666666664</v>
      </c>
      <c r="D45" s="39">
        <v>24.25</v>
      </c>
      <c r="E45" s="39">
        <v>25.333333333333336</v>
      </c>
      <c r="F45" s="39">
        <v>27.25</v>
      </c>
      <c r="G45" s="46"/>
      <c r="H45" s="46"/>
    </row>
    <row r="46" spans="1:8" ht="15" customHeight="1" x14ac:dyDescent="0.35">
      <c r="A46" s="38">
        <v>31</v>
      </c>
      <c r="B46" s="41" t="str">
        <v>Utah</v>
      </c>
      <c r="C46" s="39">
        <v>22.166666666666664</v>
      </c>
      <c r="D46" s="39">
        <v>20</v>
      </c>
      <c r="E46" s="39">
        <v>23</v>
      </c>
      <c r="F46" s="39">
        <v>21.75</v>
      </c>
      <c r="G46" s="46"/>
      <c r="H46" s="46"/>
    </row>
    <row r="47" spans="1:8" ht="15" customHeight="1" x14ac:dyDescent="0.35">
      <c r="A47" s="38">
        <v>32</v>
      </c>
      <c r="B47" s="41" t="str">
        <v>New Hampshire</v>
      </c>
      <c r="C47" s="39">
        <v>22</v>
      </c>
      <c r="D47" s="39">
        <v>5.25</v>
      </c>
      <c r="E47" s="39">
        <v>30.166666666666664</v>
      </c>
      <c r="F47" s="39">
        <v>10.5</v>
      </c>
      <c r="G47" s="46"/>
      <c r="H47" s="46"/>
    </row>
    <row r="48" spans="1:8" ht="15" customHeight="1" x14ac:dyDescent="0.35">
      <c r="A48" s="38">
        <v>33</v>
      </c>
      <c r="B48" s="41" t="str">
        <v>Ohio</v>
      </c>
      <c r="C48" s="39">
        <v>21.916666666666664</v>
      </c>
      <c r="D48" s="39">
        <v>11</v>
      </c>
      <c r="E48" s="39">
        <v>23.5</v>
      </c>
      <c r="F48" s="39">
        <v>39.5</v>
      </c>
      <c r="G48" s="46"/>
      <c r="H48" s="46"/>
    </row>
    <row r="49" spans="1:8" ht="15" customHeight="1" x14ac:dyDescent="0.35">
      <c r="A49" s="38">
        <v>34</v>
      </c>
      <c r="B49" s="41" t="str">
        <v>New Jersey</v>
      </c>
      <c r="C49" s="39">
        <v>21</v>
      </c>
      <c r="D49" s="39">
        <v>30.25</v>
      </c>
      <c r="E49" s="39">
        <v>23.833333333333332</v>
      </c>
      <c r="F49" s="39">
        <v>39.5</v>
      </c>
      <c r="G49" s="46"/>
      <c r="H49" s="46"/>
    </row>
    <row r="50" spans="1:8" ht="15" customHeight="1" x14ac:dyDescent="0.35">
      <c r="A50" s="38">
        <v>35</v>
      </c>
      <c r="B50" s="41" t="str">
        <v>Delaware</v>
      </c>
      <c r="C50" s="39">
        <v>20.416666666666664</v>
      </c>
      <c r="D50" s="39">
        <v>15.5</v>
      </c>
      <c r="E50" s="39">
        <v>43.5</v>
      </c>
      <c r="F50" s="39">
        <v>12.5</v>
      </c>
      <c r="G50" s="46"/>
      <c r="H50" s="46"/>
    </row>
    <row r="51" spans="1:8" ht="15" customHeight="1" x14ac:dyDescent="0.35">
      <c r="A51" s="38">
        <v>36</v>
      </c>
      <c r="B51" s="41" t="str">
        <v>Idaho</v>
      </c>
      <c r="C51" s="39">
        <v>20.333333333333336</v>
      </c>
      <c r="D51" s="39">
        <v>26.75</v>
      </c>
      <c r="E51" s="39">
        <v>15.166666666666666</v>
      </c>
      <c r="F51" s="39">
        <v>16.5</v>
      </c>
      <c r="G51" s="46"/>
      <c r="H51" s="46"/>
    </row>
    <row r="52" spans="1:8" ht="15" customHeight="1" x14ac:dyDescent="0.35">
      <c r="A52" s="38">
        <v>37</v>
      </c>
      <c r="B52" s="41" t="str">
        <v>Maine</v>
      </c>
      <c r="C52" s="39">
        <v>20.083333333333336</v>
      </c>
      <c r="D52" s="39">
        <v>24</v>
      </c>
      <c r="E52" s="39">
        <v>17.5</v>
      </c>
      <c r="F52" s="39">
        <v>16.5</v>
      </c>
      <c r="G52" s="46"/>
      <c r="H52" s="46"/>
    </row>
    <row r="53" spans="1:8" ht="15" customHeight="1" x14ac:dyDescent="0.35">
      <c r="A53" s="38">
        <v>38</v>
      </c>
      <c r="B53" s="41" t="str">
        <v>Iowa</v>
      </c>
      <c r="C53" s="39">
        <v>19.416666666666668</v>
      </c>
      <c r="D53" s="39">
        <v>18</v>
      </c>
      <c r="E53" s="39">
        <v>16.833333333333332</v>
      </c>
      <c r="F53" s="39">
        <v>21.75</v>
      </c>
      <c r="G53" s="46"/>
      <c r="H53" s="46"/>
    </row>
    <row r="54" spans="1:8" ht="15" customHeight="1" x14ac:dyDescent="0.35">
      <c r="A54" s="38">
        <v>39</v>
      </c>
      <c r="B54" s="41" t="str">
        <v>Wisconsin</v>
      </c>
      <c r="C54" s="39">
        <v>19.416666666666664</v>
      </c>
      <c r="D54" s="39">
        <v>24.25</v>
      </c>
      <c r="E54" s="39">
        <v>10.333333333333332</v>
      </c>
      <c r="F54" s="39">
        <v>21.75</v>
      </c>
      <c r="G54" s="46"/>
      <c r="H54" s="46"/>
    </row>
    <row r="55" spans="1:8" ht="15" customHeight="1" x14ac:dyDescent="0.35">
      <c r="A55" s="38">
        <v>40</v>
      </c>
      <c r="B55" s="41" t="str">
        <v>Washington</v>
      </c>
      <c r="C55" s="39">
        <v>18.666666666666664</v>
      </c>
      <c r="D55" s="39">
        <v>32.5</v>
      </c>
      <c r="E55" s="39">
        <v>30.5</v>
      </c>
      <c r="F55" s="39">
        <v>39.5</v>
      </c>
      <c r="G55" s="46"/>
      <c r="H55" s="46"/>
    </row>
    <row r="56" spans="1:8" ht="15" customHeight="1" x14ac:dyDescent="0.35">
      <c r="A56" s="38">
        <v>41</v>
      </c>
      <c r="B56" s="41" t="str">
        <v>Connecticut</v>
      </c>
      <c r="C56" s="39">
        <v>17.875</v>
      </c>
      <c r="D56" s="39">
        <v>28</v>
      </c>
      <c r="E56" s="39">
        <v>42</v>
      </c>
      <c r="F56" s="39">
        <v>16.5</v>
      </c>
      <c r="G56" s="46"/>
      <c r="H56" s="46"/>
    </row>
    <row r="57" spans="1:8" ht="15" customHeight="1" x14ac:dyDescent="0.35">
      <c r="A57" s="38">
        <v>42</v>
      </c>
      <c r="B57" s="41" t="str">
        <v>South Dakota</v>
      </c>
      <c r="C57" s="39">
        <v>17.666666666666664</v>
      </c>
      <c r="D57" s="39">
        <v>10.25</v>
      </c>
      <c r="E57" s="39">
        <v>3.3333333333333321</v>
      </c>
      <c r="F57" s="39">
        <v>12.5</v>
      </c>
      <c r="G57" s="46"/>
      <c r="H57" s="46"/>
    </row>
    <row r="58" spans="1:8" ht="15" customHeight="1" x14ac:dyDescent="0.35">
      <c r="A58" s="38">
        <v>43</v>
      </c>
      <c r="B58" s="41" t="str">
        <v>Minnesota</v>
      </c>
      <c r="C58" s="39">
        <v>17.416666666666664</v>
      </c>
      <c r="D58" s="39">
        <v>25.75</v>
      </c>
      <c r="E58" s="39">
        <v>20.666666666666668</v>
      </c>
      <c r="F58" s="39">
        <v>16.5</v>
      </c>
      <c r="G58" s="46"/>
      <c r="H58" s="46"/>
    </row>
    <row r="59" spans="1:8" ht="15" customHeight="1" x14ac:dyDescent="0.35">
      <c r="A59" s="38">
        <v>44</v>
      </c>
      <c r="B59" s="41" t="str">
        <v>North Dakota</v>
      </c>
      <c r="C59" s="39">
        <v>16.666666666666664</v>
      </c>
      <c r="D59" s="39">
        <v>28.75</v>
      </c>
      <c r="E59" s="39">
        <v>13.5</v>
      </c>
      <c r="F59" s="39">
        <v>21.75</v>
      </c>
      <c r="G59" s="46"/>
      <c r="H59" s="46"/>
    </row>
    <row r="60" spans="1:8" ht="15" customHeight="1" x14ac:dyDescent="0.35">
      <c r="A60" s="38">
        <v>45</v>
      </c>
      <c r="B60" s="41" t="str">
        <v>Georgia</v>
      </c>
      <c r="C60" s="39">
        <v>16.333333333333332</v>
      </c>
      <c r="D60" s="39">
        <v>29.25</v>
      </c>
      <c r="E60" s="39">
        <v>25.333333333333336</v>
      </c>
      <c r="F60" s="39">
        <v>21.75</v>
      </c>
      <c r="G60" s="46"/>
      <c r="H60" s="46"/>
    </row>
    <row r="61" spans="1:8" ht="15" customHeight="1" x14ac:dyDescent="0.35">
      <c r="A61" s="38">
        <v>46</v>
      </c>
      <c r="B61" s="41" t="str">
        <v>Virginia</v>
      </c>
      <c r="C61" s="39">
        <v>15.958333333333334</v>
      </c>
      <c r="D61" s="39">
        <v>27.75</v>
      </c>
      <c r="E61" s="39">
        <v>19.166666666666668</v>
      </c>
      <c r="F61" s="39">
        <v>21.75</v>
      </c>
      <c r="G61" s="46"/>
      <c r="H61" s="46"/>
    </row>
    <row r="62" spans="1:8" ht="15" customHeight="1" x14ac:dyDescent="0.35">
      <c r="A62" s="38">
        <v>47</v>
      </c>
      <c r="B62" s="41" t="str">
        <v>Maryland</v>
      </c>
      <c r="C62" s="39">
        <v>11.541666666666668</v>
      </c>
      <c r="D62" s="39">
        <v>33.5</v>
      </c>
      <c r="E62" s="39">
        <v>29.333333333333336</v>
      </c>
      <c r="F62" s="39">
        <v>16.5</v>
      </c>
      <c r="G62" s="46"/>
      <c r="H62" s="46"/>
    </row>
    <row r="63" spans="1:8" ht="15" customHeight="1" x14ac:dyDescent="0.35">
      <c r="A63" s="38">
        <v>48</v>
      </c>
      <c r="B63" s="41" t="str">
        <v>Hawaii</v>
      </c>
      <c r="C63" s="39">
        <v>10.666666666666668</v>
      </c>
      <c r="D63" s="39">
        <v>34.5</v>
      </c>
      <c r="E63" s="39">
        <v>28.333333333333332</v>
      </c>
      <c r="F63" s="39">
        <v>32.25</v>
      </c>
      <c r="G63" s="46"/>
      <c r="H63" s="46"/>
    </row>
    <row r="64" spans="1:8" ht="15" customHeight="1" x14ac:dyDescent="0.35">
      <c r="A64" s="38">
        <v>49</v>
      </c>
      <c r="B64" s="41" t="str">
        <v>Massachusetts</v>
      </c>
      <c r="C64" s="39">
        <v>9.3333333333333321</v>
      </c>
      <c r="D64" s="39">
        <v>24.125</v>
      </c>
      <c r="E64" s="39">
        <v>41.833333333333329</v>
      </c>
      <c r="F64" s="39">
        <v>32.25</v>
      </c>
      <c r="G64" s="46"/>
      <c r="H64" s="46"/>
    </row>
    <row r="65" spans="1:8" ht="15" customHeight="1" x14ac:dyDescent="0.35">
      <c r="A65" s="38">
        <v>50</v>
      </c>
      <c r="B65" s="41" t="str">
        <v>Vermont</v>
      </c>
      <c r="C65" s="39">
        <v>6.0833333333333321</v>
      </c>
      <c r="D65" s="39">
        <v>18.75</v>
      </c>
      <c r="E65" s="39">
        <v>16.5</v>
      </c>
      <c r="F65" s="39">
        <v>12.5</v>
      </c>
      <c r="G65" s="46"/>
      <c r="H65" s="46"/>
    </row>
    <row r="66" spans="1:8" ht="15" customHeight="1" x14ac:dyDescent="0.35">
      <c r="C66" s="40"/>
      <c r="D66" s="40"/>
      <c r="E66" s="40"/>
      <c r="F66" s="40"/>
      <c r="G66" s="46"/>
      <c r="H66" s="46"/>
    </row>
    <row r="67" spans="1:8" ht="15" customHeight="1" x14ac:dyDescent="0.35">
      <c r="G67" s="46"/>
      <c r="H67" s="46"/>
    </row>
  </sheetData>
  <mergeCells count="3">
    <mergeCell ref="A1:F4"/>
    <mergeCell ref="A5:F8"/>
    <mergeCell ref="A11:F12"/>
  </mergeCells>
  <pageMargins left="0.7" right="0.7" top="0.75" bottom="0.75" header="0.3" footer="0.3"/>
  <pageSetup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B7408-4776-497E-8582-659354C920F2}">
  <dimension ref="A1:CJ250"/>
  <sheetViews>
    <sheetView showGridLines="0" tabSelected="1" zoomScale="90" zoomScaleNormal="90" workbookViewId="0">
      <selection activeCell="BV208" sqref="BV208"/>
    </sheetView>
  </sheetViews>
  <sheetFormatPr defaultColWidth="2.54296875" defaultRowHeight="12" customHeight="1" outlineLevelRow="2" x14ac:dyDescent="0.35"/>
  <cols>
    <col min="1" max="16384" width="2.54296875" style="1"/>
  </cols>
  <sheetData>
    <row r="1" spans="1:75" ht="12" customHeight="1" x14ac:dyDescent="0.35">
      <c r="A1" s="236" t="s">
        <v>204</v>
      </c>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row>
    <row r="2" spans="1:75" ht="12" customHeight="1" x14ac:dyDescent="0.35">
      <c r="A2" s="236"/>
      <c r="B2" s="236"/>
      <c r="C2" s="236"/>
      <c r="D2" s="236"/>
      <c r="E2" s="236"/>
      <c r="F2" s="236"/>
      <c r="G2" s="236"/>
      <c r="H2" s="236"/>
      <c r="I2" s="236"/>
      <c r="J2" s="236"/>
      <c r="K2" s="236"/>
      <c r="L2" s="236"/>
      <c r="M2" s="236"/>
      <c r="N2" s="236"/>
      <c r="O2" s="236"/>
      <c r="P2" s="236"/>
      <c r="Q2" s="236"/>
      <c r="R2" s="236"/>
      <c r="S2" s="236"/>
      <c r="T2" s="236"/>
      <c r="U2" s="236"/>
      <c r="V2" s="236"/>
      <c r="W2" s="236"/>
      <c r="X2" s="236"/>
      <c r="Y2" s="236"/>
      <c r="Z2" s="236"/>
      <c r="AA2" s="236"/>
      <c r="AB2" s="236"/>
      <c r="AC2" s="236"/>
      <c r="AD2" s="236"/>
      <c r="AE2" s="236"/>
      <c r="AF2" s="236"/>
      <c r="AG2" s="236"/>
      <c r="AH2" s="236"/>
      <c r="AI2" s="236"/>
      <c r="AJ2" s="236"/>
      <c r="AK2" s="236"/>
      <c r="AL2" s="236"/>
      <c r="AM2" s="236"/>
      <c r="AN2" s="236"/>
      <c r="AO2" s="236"/>
      <c r="AP2" s="236"/>
      <c r="AQ2" s="236"/>
      <c r="AR2" s="236"/>
      <c r="AS2" s="236"/>
      <c r="AT2" s="236"/>
      <c r="AU2" s="236"/>
      <c r="AV2" s="236"/>
      <c r="AW2" s="236"/>
      <c r="AX2" s="236"/>
      <c r="AY2" s="236"/>
      <c r="AZ2" s="236"/>
      <c r="BA2" s="236"/>
      <c r="BB2" s="236"/>
      <c r="BC2" s="236"/>
      <c r="BD2" s="236"/>
      <c r="BE2" s="236"/>
      <c r="BF2" s="236"/>
      <c r="BG2" s="236"/>
      <c r="BH2" s="236"/>
      <c r="BI2" s="236"/>
      <c r="BJ2" s="236"/>
      <c r="BK2" s="236"/>
      <c r="BL2" s="236"/>
      <c r="BM2" s="236"/>
      <c r="BN2" s="236"/>
      <c r="BO2" s="236"/>
      <c r="BP2" s="236"/>
      <c r="BQ2" s="236"/>
      <c r="BR2" s="236"/>
      <c r="BS2" s="236"/>
      <c r="BT2" s="236"/>
      <c r="BU2" s="236"/>
      <c r="BV2" s="236"/>
      <c r="BW2" s="236"/>
    </row>
    <row r="3" spans="1:75" ht="12" customHeight="1" x14ac:dyDescent="0.35">
      <c r="A3" s="236"/>
      <c r="B3" s="236"/>
      <c r="C3" s="236"/>
      <c r="D3" s="236"/>
      <c r="E3" s="236"/>
      <c r="F3" s="236"/>
      <c r="G3" s="236"/>
      <c r="H3" s="236"/>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row>
    <row r="4" spans="1:75" ht="12" customHeight="1" x14ac:dyDescent="0.35">
      <c r="A4" s="236"/>
      <c r="B4" s="236"/>
      <c r="C4" s="236"/>
      <c r="D4" s="236"/>
      <c r="E4" s="236"/>
      <c r="F4" s="236"/>
      <c r="G4" s="236"/>
      <c r="H4" s="236"/>
      <c r="I4" s="236"/>
      <c r="J4" s="236"/>
      <c r="K4" s="236"/>
      <c r="L4" s="236"/>
      <c r="M4" s="236"/>
      <c r="N4" s="236"/>
      <c r="O4" s="236"/>
      <c r="P4" s="236"/>
      <c r="Q4" s="236"/>
      <c r="R4" s="236"/>
      <c r="S4" s="236"/>
      <c r="T4" s="236"/>
      <c r="U4" s="236"/>
      <c r="V4" s="236"/>
      <c r="W4" s="236"/>
      <c r="X4" s="236"/>
      <c r="Y4" s="236"/>
      <c r="Z4" s="236"/>
      <c r="AA4" s="236"/>
      <c r="AB4" s="236"/>
      <c r="AC4" s="236"/>
      <c r="AD4" s="236"/>
      <c r="AE4" s="236"/>
      <c r="AF4" s="236"/>
      <c r="AG4" s="236"/>
      <c r="AH4" s="236"/>
      <c r="AI4" s="236"/>
      <c r="AJ4" s="236"/>
      <c r="AK4" s="236"/>
      <c r="AL4" s="236"/>
      <c r="AM4" s="236"/>
      <c r="AN4" s="236"/>
      <c r="AO4" s="236"/>
      <c r="AP4" s="236"/>
      <c r="AQ4" s="236"/>
      <c r="AR4" s="236"/>
      <c r="AS4" s="236"/>
      <c r="AT4" s="236"/>
      <c r="AU4" s="236"/>
      <c r="AV4" s="236"/>
      <c r="AW4" s="236"/>
      <c r="AX4" s="236"/>
      <c r="AY4" s="236"/>
      <c r="AZ4" s="236"/>
      <c r="BA4" s="236"/>
      <c r="BB4" s="236"/>
      <c r="BC4" s="236"/>
      <c r="BD4" s="236"/>
      <c r="BE4" s="236"/>
      <c r="BF4" s="236"/>
      <c r="BG4" s="236"/>
      <c r="BH4" s="236"/>
      <c r="BI4" s="236"/>
      <c r="BJ4" s="236"/>
      <c r="BK4" s="236"/>
      <c r="BL4" s="236"/>
      <c r="BM4" s="236"/>
      <c r="BN4" s="236"/>
      <c r="BO4" s="236"/>
      <c r="BP4" s="236"/>
      <c r="BQ4" s="236"/>
      <c r="BR4" s="236"/>
      <c r="BS4" s="236"/>
      <c r="BT4" s="236"/>
      <c r="BU4" s="236"/>
      <c r="BV4" s="236"/>
      <c r="BW4" s="236"/>
    </row>
    <row r="5" spans="1:75" ht="12" customHeight="1" x14ac:dyDescent="0.35">
      <c r="A5" s="237" t="s">
        <v>207</v>
      </c>
      <c r="B5" s="238"/>
      <c r="C5" s="238"/>
      <c r="D5" s="238"/>
      <c r="E5" s="238"/>
      <c r="F5" s="238"/>
      <c r="G5" s="238"/>
      <c r="H5" s="238"/>
      <c r="I5" s="238"/>
      <c r="J5" s="238"/>
      <c r="K5" s="238"/>
      <c r="L5" s="238"/>
      <c r="M5" s="238"/>
      <c r="N5" s="238"/>
      <c r="O5" s="238"/>
      <c r="P5" s="238"/>
      <c r="Q5" s="238"/>
      <c r="R5" s="238"/>
      <c r="S5" s="238"/>
      <c r="T5" s="238"/>
      <c r="U5" s="238"/>
      <c r="V5" s="238"/>
      <c r="W5" s="238"/>
      <c r="X5" s="238"/>
      <c r="Y5" s="238"/>
      <c r="Z5" s="238"/>
      <c r="AA5" s="238"/>
      <c r="AB5" s="238"/>
      <c r="AC5" s="238"/>
      <c r="AD5" s="238"/>
      <c r="AE5" s="238"/>
      <c r="AF5" s="238"/>
      <c r="AG5" s="238"/>
      <c r="AH5" s="238"/>
      <c r="AI5" s="238"/>
      <c r="AJ5" s="238"/>
      <c r="AK5" s="238"/>
      <c r="AL5" s="238"/>
      <c r="AM5" s="238"/>
      <c r="AN5" s="238"/>
      <c r="AO5" s="238"/>
      <c r="AP5" s="238"/>
      <c r="AQ5" s="238"/>
      <c r="AR5" s="238"/>
      <c r="AS5" s="238"/>
      <c r="AT5" s="238"/>
      <c r="AU5" s="238"/>
      <c r="AV5" s="238"/>
      <c r="AW5" s="238"/>
      <c r="AX5" s="238"/>
      <c r="AY5" s="238"/>
      <c r="AZ5" s="238"/>
      <c r="BA5" s="238"/>
      <c r="BB5" s="238"/>
      <c r="BC5" s="17"/>
      <c r="BD5" s="17"/>
      <c r="BE5" s="17"/>
      <c r="BF5" s="17"/>
      <c r="BG5" s="17"/>
      <c r="BH5" s="17"/>
      <c r="BI5" s="17"/>
      <c r="BJ5" s="17"/>
      <c r="BK5" s="17"/>
      <c r="BL5" s="17"/>
      <c r="BM5" s="17"/>
      <c r="BN5" s="17"/>
      <c r="BO5" s="17"/>
      <c r="BP5" s="17"/>
      <c r="BQ5" s="17"/>
      <c r="BR5" s="17"/>
      <c r="BS5" s="17"/>
      <c r="BT5" s="17"/>
      <c r="BU5" s="17"/>
      <c r="BV5" s="17"/>
      <c r="BW5" s="17"/>
    </row>
    <row r="6" spans="1:75" ht="12" customHeight="1" x14ac:dyDescent="0.35">
      <c r="A6" s="238"/>
      <c r="B6" s="238"/>
      <c r="C6" s="238"/>
      <c r="D6" s="238"/>
      <c r="E6" s="238"/>
      <c r="F6" s="238"/>
      <c r="G6" s="238"/>
      <c r="H6" s="238"/>
      <c r="I6" s="238"/>
      <c r="J6" s="238"/>
      <c r="K6" s="238"/>
      <c r="L6" s="238"/>
      <c r="M6" s="238"/>
      <c r="N6" s="238"/>
      <c r="O6" s="238"/>
      <c r="P6" s="238"/>
      <c r="Q6" s="238"/>
      <c r="R6" s="238"/>
      <c r="S6" s="238"/>
      <c r="T6" s="238"/>
      <c r="U6" s="238"/>
      <c r="V6" s="238"/>
      <c r="W6" s="238"/>
      <c r="X6" s="238"/>
      <c r="Y6" s="238"/>
      <c r="Z6" s="238"/>
      <c r="AA6" s="238"/>
      <c r="AB6" s="238"/>
      <c r="AC6" s="238"/>
      <c r="AD6" s="238"/>
      <c r="AE6" s="238"/>
      <c r="AF6" s="238"/>
      <c r="AG6" s="238"/>
      <c r="AH6" s="238"/>
      <c r="AI6" s="238"/>
      <c r="AJ6" s="238"/>
      <c r="AK6" s="238"/>
      <c r="AL6" s="238"/>
      <c r="AM6" s="238"/>
      <c r="AN6" s="238"/>
      <c r="AO6" s="238"/>
      <c r="AP6" s="238"/>
      <c r="AQ6" s="238"/>
      <c r="AR6" s="238"/>
      <c r="AS6" s="238"/>
      <c r="AT6" s="238"/>
      <c r="AU6" s="238"/>
      <c r="AV6" s="238"/>
      <c r="AW6" s="238"/>
      <c r="AX6" s="238"/>
      <c r="AY6" s="238"/>
      <c r="AZ6" s="238"/>
      <c r="BA6" s="238"/>
      <c r="BB6" s="238"/>
      <c r="BC6" s="17"/>
      <c r="BD6" s="17"/>
      <c r="BE6" s="17"/>
      <c r="BF6" s="17"/>
      <c r="BG6" s="17"/>
      <c r="BH6" s="17"/>
      <c r="BI6" s="17"/>
      <c r="BJ6" s="17"/>
      <c r="BK6" s="17"/>
      <c r="BL6" s="17"/>
      <c r="BM6" s="17"/>
      <c r="BN6" s="17"/>
      <c r="BO6" s="17"/>
      <c r="BP6" s="17"/>
      <c r="BQ6" s="17"/>
      <c r="BR6" s="17"/>
      <c r="BS6" s="17"/>
      <c r="BT6" s="17"/>
      <c r="BU6" s="17"/>
      <c r="BV6" s="17"/>
      <c r="BW6" s="17"/>
    </row>
    <row r="7" spans="1:75" ht="12" customHeight="1" x14ac:dyDescent="0.35">
      <c r="A7" s="238"/>
      <c r="B7" s="238"/>
      <c r="C7" s="238"/>
      <c r="D7" s="238"/>
      <c r="E7" s="238"/>
      <c r="F7" s="238"/>
      <c r="G7" s="238"/>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8"/>
      <c r="AY7" s="238"/>
      <c r="AZ7" s="238"/>
      <c r="BA7" s="238"/>
      <c r="BB7" s="238"/>
      <c r="BC7" s="239" t="s">
        <v>6</v>
      </c>
      <c r="BD7" s="239"/>
      <c r="BE7" s="239"/>
      <c r="BF7" s="239"/>
      <c r="BG7" s="239"/>
      <c r="BH7" s="239"/>
      <c r="BI7" s="239"/>
      <c r="BJ7" s="239"/>
      <c r="BK7" s="239"/>
      <c r="BL7" s="17"/>
      <c r="BM7" s="240" t="s">
        <v>94</v>
      </c>
      <c r="BN7" s="240"/>
      <c r="BO7" s="240"/>
      <c r="BP7" s="240"/>
      <c r="BQ7" s="240"/>
      <c r="BR7" s="240"/>
      <c r="BS7" s="240"/>
      <c r="BT7" s="240"/>
      <c r="BU7" s="240"/>
      <c r="BV7" s="240"/>
      <c r="BW7" s="240"/>
    </row>
    <row r="8" spans="1:75" ht="12" customHeight="1" x14ac:dyDescent="0.35">
      <c r="A8" s="238"/>
      <c r="B8" s="238"/>
      <c r="C8" s="238"/>
      <c r="D8" s="238"/>
      <c r="E8" s="238"/>
      <c r="F8" s="238"/>
      <c r="G8" s="238"/>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8"/>
      <c r="AY8" s="238"/>
      <c r="AZ8" s="238"/>
      <c r="BA8" s="238"/>
      <c r="BB8" s="238"/>
      <c r="BC8" s="239"/>
      <c r="BD8" s="239"/>
      <c r="BE8" s="239"/>
      <c r="BF8" s="239"/>
      <c r="BG8" s="239"/>
      <c r="BH8" s="239"/>
      <c r="BI8" s="239"/>
      <c r="BJ8" s="239"/>
      <c r="BK8" s="239"/>
      <c r="BL8" s="17"/>
      <c r="BM8" s="240"/>
      <c r="BN8" s="240"/>
      <c r="BO8" s="240"/>
      <c r="BP8" s="240"/>
      <c r="BQ8" s="240"/>
      <c r="BR8" s="240"/>
      <c r="BS8" s="240"/>
      <c r="BT8" s="240"/>
      <c r="BU8" s="240"/>
      <c r="BV8" s="240"/>
      <c r="BW8" s="240"/>
    </row>
    <row r="9" spans="1:75" ht="12" customHeight="1" x14ac:dyDescent="0.35">
      <c r="A9" s="238"/>
      <c r="B9" s="238"/>
      <c r="C9" s="238"/>
      <c r="D9" s="238"/>
      <c r="E9" s="238"/>
      <c r="F9" s="238"/>
      <c r="G9" s="238"/>
      <c r="H9" s="238"/>
      <c r="I9" s="238"/>
      <c r="J9" s="238"/>
      <c r="K9" s="238"/>
      <c r="L9" s="238"/>
      <c r="M9" s="238"/>
      <c r="N9" s="238"/>
      <c r="O9" s="238"/>
      <c r="P9" s="238"/>
      <c r="Q9" s="238"/>
      <c r="R9" s="238"/>
      <c r="S9" s="238"/>
      <c r="T9" s="238"/>
      <c r="U9" s="238"/>
      <c r="V9" s="238"/>
      <c r="W9" s="238"/>
      <c r="X9" s="238"/>
      <c r="Y9" s="238"/>
      <c r="Z9" s="238"/>
      <c r="AA9" s="238"/>
      <c r="AB9" s="238"/>
      <c r="AC9" s="238"/>
      <c r="AD9" s="238"/>
      <c r="AE9" s="238"/>
      <c r="AF9" s="238"/>
      <c r="AG9" s="238"/>
      <c r="AH9" s="238"/>
      <c r="AI9" s="238"/>
      <c r="AJ9" s="238"/>
      <c r="AK9" s="238"/>
      <c r="AL9" s="238"/>
      <c r="AM9" s="238"/>
      <c r="AN9" s="238"/>
      <c r="AO9" s="238"/>
      <c r="AP9" s="238"/>
      <c r="AQ9" s="238"/>
      <c r="AR9" s="238"/>
      <c r="AS9" s="238"/>
      <c r="AT9" s="238"/>
      <c r="AU9" s="238"/>
      <c r="AV9" s="238"/>
      <c r="AW9" s="238"/>
      <c r="AX9" s="238"/>
      <c r="AY9" s="238"/>
      <c r="AZ9" s="238"/>
      <c r="BA9" s="238"/>
      <c r="BB9" s="238"/>
      <c r="BC9" s="239"/>
      <c r="BD9" s="239"/>
      <c r="BE9" s="239"/>
      <c r="BF9" s="239"/>
      <c r="BG9" s="239"/>
      <c r="BH9" s="239"/>
      <c r="BI9" s="239"/>
      <c r="BJ9" s="239"/>
      <c r="BK9" s="239"/>
      <c r="BL9" s="17"/>
      <c r="BM9" s="240"/>
      <c r="BN9" s="240"/>
      <c r="BO9" s="240"/>
      <c r="BP9" s="240"/>
      <c r="BQ9" s="240"/>
      <c r="BR9" s="240"/>
      <c r="BS9" s="240"/>
      <c r="BT9" s="240"/>
      <c r="BU9" s="240"/>
      <c r="BV9" s="240"/>
      <c r="BW9" s="240"/>
    </row>
    <row r="10" spans="1:75" ht="12" customHeight="1" x14ac:dyDescent="0.35">
      <c r="A10" s="238"/>
      <c r="B10" s="238"/>
      <c r="C10" s="238"/>
      <c r="D10" s="238"/>
      <c r="E10" s="238"/>
      <c r="F10" s="238"/>
      <c r="G10" s="238"/>
      <c r="H10" s="238"/>
      <c r="I10" s="238"/>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8"/>
      <c r="AY10" s="238"/>
      <c r="AZ10" s="238"/>
      <c r="BA10" s="238"/>
      <c r="BB10" s="238"/>
      <c r="BC10" s="17"/>
      <c r="BD10" s="17"/>
      <c r="BE10" s="17"/>
      <c r="BF10" s="17"/>
      <c r="BG10" s="17"/>
      <c r="BH10" s="17"/>
      <c r="BI10" s="17"/>
      <c r="BJ10" s="17"/>
      <c r="BK10" s="17"/>
      <c r="BL10" s="17"/>
      <c r="BM10" s="17"/>
      <c r="BN10" s="17"/>
      <c r="BO10" s="17"/>
      <c r="BP10" s="17"/>
      <c r="BQ10" s="17"/>
      <c r="BR10" s="17"/>
      <c r="BS10" s="17"/>
      <c r="BT10" s="17"/>
      <c r="BU10" s="17"/>
      <c r="BV10" s="17"/>
      <c r="BW10" s="17"/>
    </row>
    <row r="11" spans="1:75" ht="12" customHeight="1" x14ac:dyDescent="0.35">
      <c r="A11" s="238"/>
      <c r="B11" s="238"/>
      <c r="C11" s="238"/>
      <c r="D11" s="238"/>
      <c r="E11" s="238"/>
      <c r="F11" s="238"/>
      <c r="G11" s="238"/>
      <c r="H11" s="238"/>
      <c r="I11" s="238"/>
      <c r="J11" s="238"/>
      <c r="K11" s="238"/>
      <c r="L11" s="238"/>
      <c r="M11" s="238"/>
      <c r="N11" s="238"/>
      <c r="O11" s="238"/>
      <c r="P11" s="238"/>
      <c r="Q11" s="238"/>
      <c r="R11" s="238"/>
      <c r="S11" s="238"/>
      <c r="T11" s="238"/>
      <c r="U11" s="238"/>
      <c r="V11" s="238"/>
      <c r="W11" s="238"/>
      <c r="X11" s="238"/>
      <c r="Y11" s="238"/>
      <c r="Z11" s="238"/>
      <c r="AA11" s="238"/>
      <c r="AB11" s="238"/>
      <c r="AC11" s="238"/>
      <c r="AD11" s="238"/>
      <c r="AE11" s="238"/>
      <c r="AF11" s="238"/>
      <c r="AG11" s="238"/>
      <c r="AH11" s="238"/>
      <c r="AI11" s="238"/>
      <c r="AJ11" s="238"/>
      <c r="AK11" s="238"/>
      <c r="AL11" s="238"/>
      <c r="AM11" s="238"/>
      <c r="AN11" s="238"/>
      <c r="AO11" s="238"/>
      <c r="AP11" s="238"/>
      <c r="AQ11" s="238"/>
      <c r="AR11" s="238"/>
      <c r="AS11" s="238"/>
      <c r="AT11" s="238"/>
      <c r="AU11" s="238"/>
      <c r="AV11" s="238"/>
      <c r="AW11" s="238"/>
      <c r="AX11" s="238"/>
      <c r="AY11" s="238"/>
      <c r="AZ11" s="238"/>
      <c r="BA11" s="238"/>
      <c r="BB11" s="238"/>
      <c r="BC11" s="17"/>
      <c r="BD11" s="17"/>
      <c r="BE11" s="17"/>
      <c r="BF11" s="17"/>
      <c r="BG11" s="17"/>
      <c r="BH11" s="17"/>
      <c r="BI11" s="17"/>
      <c r="BJ11" s="17"/>
      <c r="BK11" s="17"/>
      <c r="BL11" s="17"/>
      <c r="BM11" s="17"/>
      <c r="BN11" s="17"/>
      <c r="BO11" s="17"/>
      <c r="BP11" s="17"/>
      <c r="BQ11" s="17"/>
      <c r="BR11" s="17"/>
      <c r="BS11" s="17"/>
      <c r="BT11" s="17"/>
      <c r="BU11" s="17"/>
      <c r="BV11" s="17"/>
      <c r="BW11" s="17"/>
    </row>
    <row r="12" spans="1:75" ht="12" customHeight="1" x14ac:dyDescent="0.35">
      <c r="A12" s="16"/>
      <c r="B12" s="16"/>
      <c r="C12" s="16"/>
      <c r="D12" s="16"/>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row>
    <row r="14" spans="1:75" ht="12" customHeight="1" x14ac:dyDescent="0.35">
      <c r="A14" s="235" t="s">
        <v>636</v>
      </c>
      <c r="B14" s="235"/>
      <c r="C14" s="235"/>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5"/>
      <c r="AY14" s="235"/>
      <c r="AZ14" s="235"/>
      <c r="BA14" s="235"/>
      <c r="BB14" s="235"/>
      <c r="BC14" s="235"/>
      <c r="BD14" s="235"/>
      <c r="BE14" s="235"/>
      <c r="BF14" s="235"/>
      <c r="BG14" s="235"/>
      <c r="BH14" s="235"/>
      <c r="BI14" s="235"/>
      <c r="BJ14" s="235"/>
      <c r="BK14" s="235"/>
      <c r="BL14" s="235"/>
      <c r="BM14" s="235"/>
      <c r="BN14" s="235"/>
      <c r="BO14" s="235"/>
      <c r="BP14" s="235"/>
      <c r="BQ14" s="235"/>
      <c r="BR14" s="235"/>
      <c r="BS14" s="235"/>
      <c r="BT14" s="235"/>
      <c r="BU14" s="235"/>
      <c r="BV14" s="235"/>
      <c r="BW14" s="235"/>
    </row>
    <row r="15" spans="1:75" ht="12" customHeight="1" x14ac:dyDescent="0.35">
      <c r="A15" s="235"/>
      <c r="B15" s="235"/>
      <c r="C15" s="235"/>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5"/>
      <c r="AY15" s="235"/>
      <c r="AZ15" s="235"/>
      <c r="BA15" s="235"/>
      <c r="BB15" s="235"/>
      <c r="BC15" s="235"/>
      <c r="BD15" s="235"/>
      <c r="BE15" s="235"/>
      <c r="BF15" s="235"/>
      <c r="BG15" s="235"/>
      <c r="BH15" s="235"/>
      <c r="BI15" s="235"/>
      <c r="BJ15" s="235"/>
      <c r="BK15" s="235"/>
      <c r="BL15" s="235"/>
      <c r="BM15" s="235"/>
      <c r="BN15" s="235"/>
      <c r="BO15" s="235"/>
      <c r="BP15" s="235"/>
      <c r="BQ15" s="235"/>
      <c r="BR15" s="235"/>
      <c r="BS15" s="235"/>
      <c r="BT15" s="235"/>
      <c r="BU15" s="235"/>
      <c r="BV15" s="235"/>
      <c r="BW15" s="235"/>
    </row>
    <row r="17" spans="1:75" ht="12" customHeight="1" outlineLevel="1" x14ac:dyDescent="0.35">
      <c r="A17" s="225" t="s">
        <v>640</v>
      </c>
      <c r="B17" s="225"/>
      <c r="C17" s="225"/>
      <c r="D17" s="225"/>
      <c r="E17" s="225"/>
      <c r="F17" s="225"/>
      <c r="G17" s="225"/>
      <c r="H17" s="225"/>
      <c r="I17" s="225"/>
      <c r="J17" s="225"/>
      <c r="K17" s="225"/>
      <c r="L17" s="225"/>
      <c r="M17" s="225"/>
      <c r="N17" s="225"/>
      <c r="O17" s="225"/>
      <c r="P17" s="225"/>
      <c r="Q17" s="225"/>
      <c r="R17" s="225"/>
      <c r="S17" s="225"/>
      <c r="T17" s="225"/>
      <c r="U17" s="225"/>
      <c r="V17" s="225"/>
      <c r="W17" s="6"/>
      <c r="X17" s="6"/>
      <c r="Y17" s="6"/>
      <c r="Z17" s="6"/>
      <c r="AA17" s="6"/>
      <c r="AB17" s="6"/>
      <c r="AC17" s="6"/>
      <c r="AD17" s="6"/>
      <c r="AE17" s="6"/>
      <c r="AF17" s="6"/>
      <c r="AG17" s="6"/>
      <c r="AH17" s="6"/>
      <c r="AI17" s="6"/>
      <c r="AJ17" s="226"/>
      <c r="AK17" s="226"/>
      <c r="AL17" s="226"/>
      <c r="AM17" s="226"/>
      <c r="AN17" s="226"/>
      <c r="AO17" s="226"/>
      <c r="AP17" s="226"/>
      <c r="AQ17" s="226"/>
      <c r="AR17" s="226"/>
      <c r="AS17" s="226"/>
      <c r="AT17" s="6"/>
      <c r="AU17" s="6"/>
      <c r="AW17" s="225" t="s">
        <v>799</v>
      </c>
      <c r="AX17" s="225"/>
      <c r="AY17" s="225"/>
      <c r="AZ17" s="225"/>
      <c r="BA17" s="225"/>
      <c r="BB17" s="225"/>
      <c r="BC17" s="225"/>
      <c r="BD17" s="225"/>
      <c r="BE17" s="225"/>
      <c r="BF17" s="225"/>
      <c r="BG17" s="225"/>
      <c r="BH17" s="225"/>
      <c r="BI17" s="225"/>
      <c r="BJ17" s="225"/>
      <c r="BK17" s="225"/>
      <c r="BL17" s="225"/>
      <c r="BM17" s="225"/>
      <c r="BN17" s="225"/>
      <c r="BO17" s="225"/>
      <c r="BP17" s="225"/>
      <c r="BQ17" s="225"/>
      <c r="BR17" s="225"/>
      <c r="BS17" s="6"/>
      <c r="BT17" s="6"/>
      <c r="BU17" s="6"/>
      <c r="BV17" s="6"/>
      <c r="BW17" s="6"/>
    </row>
    <row r="18" spans="1:75" ht="12" customHeight="1" outlineLevel="1" x14ac:dyDescent="0.35">
      <c r="A18" s="225"/>
      <c r="B18" s="225"/>
      <c r="C18" s="225"/>
      <c r="D18" s="225"/>
      <c r="E18" s="225"/>
      <c r="F18" s="225"/>
      <c r="G18" s="225"/>
      <c r="H18" s="225"/>
      <c r="I18" s="225"/>
      <c r="J18" s="225"/>
      <c r="K18" s="225"/>
      <c r="L18" s="225"/>
      <c r="M18" s="225"/>
      <c r="N18" s="225"/>
      <c r="O18" s="225"/>
      <c r="P18" s="225"/>
      <c r="Q18" s="225"/>
      <c r="R18" s="225"/>
      <c r="S18" s="225"/>
      <c r="T18" s="225"/>
      <c r="U18" s="225"/>
      <c r="V18" s="225"/>
      <c r="W18" s="6"/>
      <c r="X18" s="6"/>
      <c r="Y18" s="6"/>
      <c r="Z18" s="6"/>
      <c r="AA18" s="6"/>
      <c r="AB18" s="6"/>
      <c r="AC18" s="6"/>
      <c r="AD18" s="6"/>
      <c r="AE18" s="6"/>
      <c r="AF18" s="6"/>
      <c r="AG18" s="6"/>
      <c r="AH18" s="6"/>
      <c r="AI18" s="6"/>
      <c r="AJ18" s="226"/>
      <c r="AK18" s="226"/>
      <c r="AL18" s="226"/>
      <c r="AM18" s="226"/>
      <c r="AN18" s="226"/>
      <c r="AO18" s="226"/>
      <c r="AP18" s="226"/>
      <c r="AQ18" s="226"/>
      <c r="AR18" s="226"/>
      <c r="AS18" s="226"/>
      <c r="AT18" s="6"/>
      <c r="AU18" s="6"/>
      <c r="AW18" s="225"/>
      <c r="AX18" s="225"/>
      <c r="AY18" s="225"/>
      <c r="AZ18" s="225"/>
      <c r="BA18" s="225"/>
      <c r="BB18" s="225"/>
      <c r="BC18" s="225"/>
      <c r="BD18" s="225"/>
      <c r="BE18" s="225"/>
      <c r="BF18" s="225"/>
      <c r="BG18" s="225"/>
      <c r="BH18" s="225"/>
      <c r="BI18" s="225"/>
      <c r="BJ18" s="225"/>
      <c r="BK18" s="225"/>
      <c r="BL18" s="225"/>
      <c r="BM18" s="225"/>
      <c r="BN18" s="225"/>
      <c r="BO18" s="225"/>
      <c r="BP18" s="225"/>
      <c r="BQ18" s="225"/>
      <c r="BR18" s="225"/>
      <c r="BS18" s="6"/>
      <c r="BT18" s="6"/>
      <c r="BU18" s="6"/>
      <c r="BV18" s="6"/>
      <c r="BW18" s="6"/>
    </row>
    <row r="21" spans="1:75" ht="12" customHeight="1" x14ac:dyDescent="0.35">
      <c r="C21" s="219" t="s">
        <v>650</v>
      </c>
      <c r="D21" s="219"/>
      <c r="E21" s="219"/>
      <c r="F21" s="219"/>
      <c r="G21" s="219"/>
      <c r="H21" s="219"/>
      <c r="I21" s="219"/>
      <c r="J21" s="219"/>
      <c r="K21" s="219"/>
      <c r="L21" s="219"/>
      <c r="M21" s="219"/>
      <c r="N21" s="219"/>
      <c r="O21" s="219"/>
      <c r="P21" s="219"/>
      <c r="Q21" s="219"/>
      <c r="R21" s="219"/>
      <c r="S21" s="219"/>
      <c r="T21" s="219"/>
      <c r="U21" s="219"/>
      <c r="V21" s="219"/>
      <c r="W21" s="10"/>
      <c r="X21" s="10"/>
      <c r="Y21" s="230">
        <f>VLOOKUP('State Detail'!BM$7,RawData[[#All],[State]:[Opportunity to leverage existing policies and initiatives]],5,FALSE)*1000</f>
        <v>2309000</v>
      </c>
      <c r="Z21" s="230"/>
      <c r="AA21" s="230"/>
      <c r="AB21" s="230"/>
      <c r="AC21" s="230"/>
      <c r="AD21" s="230"/>
      <c r="AE21" s="230"/>
      <c r="AF21" s="230"/>
      <c r="AG21" s="230"/>
      <c r="AH21" s="230"/>
      <c r="AI21" s="230"/>
      <c r="AJ21" s="230"/>
      <c r="AK21" s="230"/>
      <c r="AL21" s="230"/>
      <c r="AM21" s="230"/>
      <c r="AN21" s="230"/>
      <c r="AO21" s="230"/>
      <c r="AP21" s="230"/>
      <c r="AQ21" s="230"/>
      <c r="AR21" s="230"/>
      <c r="AS21" s="230"/>
      <c r="AT21" s="230"/>
      <c r="AW21" s="5"/>
      <c r="AX21" s="5"/>
      <c r="AY21" s="5"/>
      <c r="AZ21" s="5"/>
      <c r="BA21" s="5"/>
      <c r="BB21" s="5"/>
      <c r="BC21" s="5"/>
      <c r="BD21" s="5"/>
      <c r="BE21" s="5"/>
      <c r="BF21" s="227" t="s">
        <v>637</v>
      </c>
      <c r="BG21" s="227"/>
      <c r="BH21" s="227"/>
      <c r="BI21" s="227"/>
      <c r="BJ21" s="227"/>
      <c r="BK21" s="227"/>
      <c r="BL21" s="227"/>
      <c r="BM21" s="227"/>
      <c r="BN21" s="227"/>
      <c r="BO21" s="227" t="s">
        <v>638</v>
      </c>
      <c r="BP21" s="227"/>
      <c r="BQ21" s="227"/>
      <c r="BR21" s="227"/>
      <c r="BS21" s="227"/>
      <c r="BT21" s="227"/>
      <c r="BU21" s="227"/>
      <c r="BV21" s="227"/>
      <c r="BW21" s="227"/>
    </row>
    <row r="22" spans="1:75" ht="12" customHeight="1" x14ac:dyDescent="0.35">
      <c r="C22" s="219"/>
      <c r="D22" s="219"/>
      <c r="E22" s="219"/>
      <c r="F22" s="219"/>
      <c r="G22" s="219"/>
      <c r="H22" s="219"/>
      <c r="I22" s="219"/>
      <c r="J22" s="219"/>
      <c r="K22" s="219"/>
      <c r="L22" s="219"/>
      <c r="M22" s="219"/>
      <c r="N22" s="219"/>
      <c r="O22" s="219"/>
      <c r="P22" s="219"/>
      <c r="Q22" s="219"/>
      <c r="R22" s="219"/>
      <c r="S22" s="219"/>
      <c r="T22" s="219"/>
      <c r="U22" s="219"/>
      <c r="V22" s="219"/>
      <c r="W22" s="10"/>
      <c r="X22" s="1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BF22" s="228"/>
      <c r="BG22" s="228"/>
      <c r="BH22" s="228"/>
      <c r="BI22" s="228"/>
      <c r="BJ22" s="228"/>
      <c r="BK22" s="228"/>
      <c r="BL22" s="228"/>
      <c r="BM22" s="228"/>
      <c r="BN22" s="228"/>
      <c r="BO22" s="228"/>
      <c r="BP22" s="228"/>
      <c r="BQ22" s="228"/>
      <c r="BR22" s="228"/>
      <c r="BS22" s="228"/>
      <c r="BT22" s="228"/>
      <c r="BU22" s="228"/>
      <c r="BV22" s="228"/>
      <c r="BW22" s="228"/>
    </row>
    <row r="23" spans="1:75" ht="12" customHeight="1" x14ac:dyDescent="0.35">
      <c r="AW23" s="217" t="s">
        <v>800</v>
      </c>
      <c r="AX23" s="217"/>
      <c r="AY23" s="217"/>
      <c r="AZ23" s="217"/>
      <c r="BA23" s="217"/>
      <c r="BB23" s="217"/>
      <c r="BC23" s="217"/>
      <c r="BD23" s="217"/>
      <c r="BE23" s="217"/>
      <c r="BF23" s="233" t="str">
        <f>VLOOKUP('State Detail'!BM$7,RawData[[#All],[State]:[Opportunity to leverage existing policies and initiatives]],3,FALSE)</f>
        <v>Democrat</v>
      </c>
      <c r="BG23" s="233"/>
      <c r="BH23" s="233"/>
      <c r="BI23" s="233"/>
      <c r="BJ23" s="233"/>
      <c r="BK23" s="233"/>
      <c r="BL23" s="233"/>
      <c r="BM23" s="233"/>
      <c r="BN23" s="233"/>
      <c r="BO23" s="233" t="str">
        <f>VLOOKUP('State Detail'!BM$7,RawData[[#All],[State]:[Opportunity to leverage existing policies and initiatives]],4,FALSE)</f>
        <v>Republican</v>
      </c>
      <c r="BP23" s="233"/>
      <c r="BQ23" s="233"/>
      <c r="BR23" s="233"/>
      <c r="BS23" s="233"/>
      <c r="BT23" s="233"/>
      <c r="BU23" s="233"/>
      <c r="BV23" s="233"/>
      <c r="BW23" s="233"/>
    </row>
    <row r="24" spans="1:75" ht="12" customHeight="1" x14ac:dyDescent="0.35">
      <c r="Y24" s="227" t="s">
        <v>645</v>
      </c>
      <c r="Z24" s="227"/>
      <c r="AA24" s="227"/>
      <c r="AB24" s="227"/>
      <c r="AC24" s="227"/>
      <c r="AD24" s="227"/>
      <c r="AE24" s="227"/>
      <c r="AF24" s="227"/>
      <c r="AG24" s="227"/>
      <c r="AH24" s="227"/>
      <c r="AI24" s="227"/>
      <c r="AJ24" s="227" t="s">
        <v>646</v>
      </c>
      <c r="AK24" s="227"/>
      <c r="AL24" s="227"/>
      <c r="AM24" s="227"/>
      <c r="AN24" s="227"/>
      <c r="AO24" s="227"/>
      <c r="AP24" s="227"/>
      <c r="AQ24" s="227"/>
      <c r="AR24" s="227"/>
      <c r="AS24" s="227"/>
      <c r="AT24" s="227"/>
      <c r="AW24" s="217"/>
      <c r="AX24" s="217"/>
      <c r="AY24" s="217"/>
      <c r="AZ24" s="217"/>
      <c r="BA24" s="217"/>
      <c r="BB24" s="217"/>
      <c r="BC24" s="217"/>
      <c r="BD24" s="217"/>
      <c r="BE24" s="217"/>
      <c r="BF24" s="214"/>
      <c r="BG24" s="214"/>
      <c r="BH24" s="214"/>
      <c r="BI24" s="214"/>
      <c r="BJ24" s="214"/>
      <c r="BK24" s="214"/>
      <c r="BL24" s="214"/>
      <c r="BM24" s="214"/>
      <c r="BN24" s="214"/>
      <c r="BO24" s="214"/>
      <c r="BP24" s="214"/>
      <c r="BQ24" s="214"/>
      <c r="BR24" s="214"/>
      <c r="BS24" s="214"/>
      <c r="BT24" s="214"/>
      <c r="BU24" s="214"/>
      <c r="BV24" s="214"/>
      <c r="BW24" s="214"/>
    </row>
    <row r="25" spans="1:75" ht="12" customHeight="1" x14ac:dyDescent="0.35">
      <c r="Y25" s="228"/>
      <c r="Z25" s="228"/>
      <c r="AA25" s="228"/>
      <c r="AB25" s="228"/>
      <c r="AC25" s="228"/>
      <c r="AD25" s="228"/>
      <c r="AE25" s="228"/>
      <c r="AF25" s="228"/>
      <c r="AG25" s="228"/>
      <c r="AH25" s="228"/>
      <c r="AI25" s="228"/>
      <c r="AJ25" s="228"/>
      <c r="AK25" s="228"/>
      <c r="AL25" s="228"/>
      <c r="AM25" s="228"/>
      <c r="AN25" s="228"/>
      <c r="AO25" s="228"/>
      <c r="AP25" s="228"/>
      <c r="AQ25" s="228"/>
      <c r="AR25" s="228"/>
      <c r="AS25" s="228"/>
      <c r="AT25" s="228"/>
    </row>
    <row r="26" spans="1:75" ht="12" customHeight="1" x14ac:dyDescent="0.35">
      <c r="C26" s="219" t="s">
        <v>746</v>
      </c>
      <c r="D26" s="219"/>
      <c r="E26" s="219"/>
      <c r="F26" s="219"/>
      <c r="G26" s="219"/>
      <c r="H26" s="219"/>
      <c r="I26" s="219"/>
      <c r="J26" s="219"/>
      <c r="K26" s="219"/>
      <c r="L26" s="219"/>
      <c r="M26" s="219"/>
      <c r="N26" s="219"/>
      <c r="O26" s="219"/>
      <c r="P26" s="219"/>
      <c r="Q26" s="219"/>
      <c r="R26" s="219"/>
      <c r="S26" s="219"/>
      <c r="T26" s="219"/>
      <c r="U26" s="219"/>
      <c r="V26" s="219"/>
      <c r="W26" s="10"/>
      <c r="X26" s="10"/>
      <c r="Y26" s="243">
        <f>VLOOKUP('State Detail'!$BM$7,RawData[[#All],[State]:[Opportunity to leverage existing policies and initiatives]],8,FALSE)</f>
        <v>40272</v>
      </c>
      <c r="Z26" s="243"/>
      <c r="AA26" s="243"/>
      <c r="AB26" s="243"/>
      <c r="AC26" s="243"/>
      <c r="AD26" s="243"/>
      <c r="AE26" s="243"/>
      <c r="AF26" s="243"/>
      <c r="AG26" s="243"/>
      <c r="AH26" s="243"/>
      <c r="AI26" s="243"/>
      <c r="AJ26" s="243">
        <f>VLOOKUP('State Detail'!$BM$7,RawData[[#All],[State]:[Opportunity to leverage existing policies and initiatives]],11,FALSE)</f>
        <v>78597</v>
      </c>
      <c r="AK26" s="243"/>
      <c r="AL26" s="243"/>
      <c r="AM26" s="243"/>
      <c r="AN26" s="243"/>
      <c r="AO26" s="243"/>
      <c r="AP26" s="243"/>
      <c r="AQ26" s="243"/>
      <c r="AR26" s="243"/>
      <c r="AS26" s="243"/>
      <c r="AT26" s="243"/>
    </row>
    <row r="27" spans="1:75" ht="12" customHeight="1" x14ac:dyDescent="0.35">
      <c r="C27" s="219"/>
      <c r="D27" s="219"/>
      <c r="E27" s="219"/>
      <c r="F27" s="219"/>
      <c r="G27" s="219"/>
      <c r="H27" s="219"/>
      <c r="I27" s="219"/>
      <c r="J27" s="219"/>
      <c r="K27" s="219"/>
      <c r="L27" s="219"/>
      <c r="M27" s="219"/>
      <c r="N27" s="219"/>
      <c r="O27" s="219"/>
      <c r="P27" s="219"/>
      <c r="Q27" s="219"/>
      <c r="R27" s="219"/>
      <c r="S27" s="219"/>
      <c r="T27" s="219"/>
      <c r="U27" s="219"/>
      <c r="V27" s="219"/>
      <c r="W27" s="10"/>
      <c r="X27" s="10"/>
      <c r="Y27" s="230"/>
      <c r="Z27" s="230"/>
      <c r="AA27" s="230"/>
      <c r="AB27" s="230"/>
      <c r="AC27" s="230"/>
      <c r="AD27" s="230"/>
      <c r="AE27" s="230"/>
      <c r="AF27" s="230"/>
      <c r="AG27" s="230"/>
      <c r="AH27" s="230"/>
      <c r="AI27" s="230"/>
      <c r="AJ27" s="230"/>
      <c r="AK27" s="230"/>
      <c r="AL27" s="230"/>
      <c r="AM27" s="230"/>
      <c r="AN27" s="230"/>
      <c r="AO27" s="230"/>
      <c r="AP27" s="230"/>
      <c r="AQ27" s="230"/>
      <c r="AR27" s="230"/>
      <c r="AS27" s="230"/>
      <c r="AT27" s="230"/>
      <c r="AW27" s="219" t="s">
        <v>639</v>
      </c>
      <c r="AX27" s="219"/>
      <c r="AY27" s="219"/>
      <c r="AZ27" s="219"/>
      <c r="BA27" s="219"/>
      <c r="BB27" s="219"/>
      <c r="BC27" s="219"/>
      <c r="BD27" s="219"/>
      <c r="BE27" s="219"/>
      <c r="BF27" s="219"/>
      <c r="BG27" s="219"/>
      <c r="BH27" s="219"/>
      <c r="BI27" s="219"/>
      <c r="BJ27" s="219"/>
      <c r="BK27" s="219"/>
      <c r="BL27" s="219"/>
      <c r="BM27" s="219"/>
      <c r="BN27" s="219"/>
      <c r="BO27" s="219"/>
      <c r="BP27" s="219"/>
      <c r="BQ27" s="219"/>
      <c r="BR27" s="219"/>
      <c r="BS27" s="219"/>
      <c r="BT27" s="219"/>
      <c r="BU27" s="219"/>
      <c r="BV27" s="219"/>
      <c r="BW27" s="219"/>
    </row>
    <row r="28" spans="1:75" ht="12" customHeight="1" x14ac:dyDescent="0.35">
      <c r="AW28" s="219"/>
      <c r="AX28" s="219"/>
      <c r="AY28" s="219"/>
      <c r="AZ28" s="219"/>
      <c r="BA28" s="219"/>
      <c r="BB28" s="219"/>
      <c r="BC28" s="219"/>
      <c r="BD28" s="219"/>
      <c r="BE28" s="219"/>
      <c r="BF28" s="219"/>
      <c r="BG28" s="219"/>
      <c r="BH28" s="219"/>
      <c r="BI28" s="219"/>
      <c r="BJ28" s="219"/>
      <c r="BK28" s="219"/>
      <c r="BL28" s="219"/>
      <c r="BM28" s="219"/>
      <c r="BN28" s="219"/>
      <c r="BO28" s="219"/>
      <c r="BP28" s="219"/>
      <c r="BQ28" s="219"/>
      <c r="BR28" s="219"/>
      <c r="BS28" s="219"/>
      <c r="BT28" s="219"/>
      <c r="BU28" s="219"/>
      <c r="BV28" s="219"/>
      <c r="BW28" s="219"/>
    </row>
    <row r="29" spans="1:75" ht="12" customHeight="1" x14ac:dyDescent="0.35">
      <c r="Y29" s="227" t="s">
        <v>645</v>
      </c>
      <c r="Z29" s="227"/>
      <c r="AA29" s="227"/>
      <c r="AB29" s="227"/>
      <c r="AC29" s="227"/>
      <c r="AD29" s="227"/>
      <c r="AE29" s="227"/>
      <c r="AF29" s="227"/>
      <c r="AG29" s="227"/>
      <c r="AH29" s="227"/>
      <c r="AI29" s="227"/>
      <c r="AJ29" s="227" t="s">
        <v>646</v>
      </c>
      <c r="AK29" s="227"/>
      <c r="AL29" s="227"/>
      <c r="AM29" s="227"/>
      <c r="AN29" s="227"/>
      <c r="AO29" s="227"/>
      <c r="AP29" s="227"/>
      <c r="AQ29" s="227"/>
      <c r="AR29" s="227"/>
      <c r="AS29" s="227"/>
      <c r="AT29" s="227"/>
      <c r="AW29" s="242" t="s">
        <v>634</v>
      </c>
      <c r="AX29" s="242"/>
      <c r="AY29" s="242"/>
      <c r="AZ29" s="242"/>
      <c r="BA29" s="242"/>
      <c r="BB29" s="242"/>
      <c r="BC29" s="242"/>
      <c r="BD29" s="242"/>
      <c r="BE29" s="242"/>
      <c r="BF29" s="242"/>
      <c r="BG29" s="242"/>
      <c r="BH29" s="242"/>
      <c r="BI29" s="242"/>
      <c r="BJ29" s="242"/>
      <c r="BK29" s="242"/>
      <c r="BL29" s="242"/>
      <c r="BM29" s="242"/>
      <c r="BN29" s="242"/>
      <c r="BO29" s="4"/>
      <c r="BP29" s="227" t="s">
        <v>635</v>
      </c>
      <c r="BQ29" s="227"/>
      <c r="BR29" s="227"/>
      <c r="BS29" s="227"/>
      <c r="BT29" s="227"/>
      <c r="BU29" s="227"/>
      <c r="BV29" s="227"/>
      <c r="BW29" s="227"/>
    </row>
    <row r="30" spans="1:75" ht="12" customHeight="1" x14ac:dyDescent="0.35">
      <c r="Y30" s="228"/>
      <c r="Z30" s="228"/>
      <c r="AA30" s="228"/>
      <c r="AB30" s="228"/>
      <c r="AC30" s="228"/>
      <c r="AD30" s="228"/>
      <c r="AE30" s="228"/>
      <c r="AF30" s="228"/>
      <c r="AG30" s="228"/>
      <c r="AH30" s="228"/>
      <c r="AI30" s="228"/>
      <c r="AJ30" s="228"/>
      <c r="AK30" s="228"/>
      <c r="AL30" s="228"/>
      <c r="AM30" s="228"/>
      <c r="AN30" s="228"/>
      <c r="AO30" s="228"/>
      <c r="AP30" s="228"/>
      <c r="AQ30" s="228"/>
      <c r="AR30" s="228"/>
      <c r="AS30" s="228"/>
      <c r="AT30" s="228"/>
      <c r="AW30" s="1" t="str" cm="1">
        <f t="array" ref="AW30:AW34">_xlfn._xlws.FILTER('Sup Governance Data'!B2:B277,'Sup Governance Data'!A2:A277=BM7)</f>
        <v>Kentucky Council on Postsecondary Education</v>
      </c>
      <c r="BP30" s="1" t="str" cm="1">
        <f t="array" ref="BP30:BP34">_xlfn._xlws.FILTER('Sup Governance Data'!C2:C277,'Sup Governance Data'!A2:A277=BM7)</f>
        <v>Coordinating</v>
      </c>
    </row>
    <row r="31" spans="1:75" ht="12" customHeight="1" x14ac:dyDescent="0.35">
      <c r="C31" s="219" t="s">
        <v>644</v>
      </c>
      <c r="D31" s="219"/>
      <c r="E31" s="219"/>
      <c r="F31" s="219"/>
      <c r="G31" s="219"/>
      <c r="H31" s="219"/>
      <c r="I31" s="219"/>
      <c r="J31" s="219"/>
      <c r="K31" s="219"/>
      <c r="L31" s="219"/>
      <c r="M31" s="219"/>
      <c r="N31" s="219"/>
      <c r="O31" s="219"/>
      <c r="P31" s="219"/>
      <c r="Q31" s="219"/>
      <c r="R31" s="219"/>
      <c r="S31" s="219"/>
      <c r="T31" s="219"/>
      <c r="U31" s="219"/>
      <c r="V31" s="219"/>
      <c r="W31" s="10"/>
      <c r="X31" s="10"/>
      <c r="Y31" s="243">
        <f>VLOOKUP('State Detail'!$BM$7,RawData[[#All],[State]:[Opportunity to leverage existing policies and initiatives]],6,FALSE)</f>
        <v>16</v>
      </c>
      <c r="Z31" s="243"/>
      <c r="AA31" s="243"/>
      <c r="AB31" s="243"/>
      <c r="AC31" s="243"/>
      <c r="AD31" s="243"/>
      <c r="AE31" s="243"/>
      <c r="AF31" s="243"/>
      <c r="AG31" s="243"/>
      <c r="AH31" s="243"/>
      <c r="AI31" s="243"/>
      <c r="AJ31" s="243">
        <f>VLOOKUP('State Detail'!$BM$7,RawData[[#All],[State]:[Opportunity to leverage existing policies and initiatives]],9,FALSE)</f>
        <v>8</v>
      </c>
      <c r="AK31" s="243"/>
      <c r="AL31" s="243"/>
      <c r="AM31" s="243"/>
      <c r="AN31" s="243"/>
      <c r="AO31" s="243"/>
      <c r="AP31" s="243"/>
      <c r="AQ31" s="243"/>
      <c r="AR31" s="243"/>
      <c r="AS31" s="243"/>
      <c r="AT31" s="243"/>
      <c r="AW31" s="1" t="str">
        <v>Kentucky Council on Postsecondary Education (Agency)</v>
      </c>
      <c r="BP31" s="1" t="str">
        <v>Administrative/service</v>
      </c>
    </row>
    <row r="32" spans="1:75" ht="12" customHeight="1" x14ac:dyDescent="0.35">
      <c r="C32" s="219"/>
      <c r="D32" s="219"/>
      <c r="E32" s="219"/>
      <c r="F32" s="219"/>
      <c r="G32" s="219"/>
      <c r="H32" s="219"/>
      <c r="I32" s="219"/>
      <c r="J32" s="219"/>
      <c r="K32" s="219"/>
      <c r="L32" s="219"/>
      <c r="M32" s="219"/>
      <c r="N32" s="219"/>
      <c r="O32" s="219"/>
      <c r="P32" s="219"/>
      <c r="Q32" s="219"/>
      <c r="R32" s="219"/>
      <c r="S32" s="219"/>
      <c r="T32" s="219"/>
      <c r="U32" s="219"/>
      <c r="V32" s="219"/>
      <c r="W32" s="10"/>
      <c r="X32" s="10"/>
      <c r="Y32" s="230"/>
      <c r="Z32" s="230"/>
      <c r="AA32" s="230"/>
      <c r="AB32" s="230"/>
      <c r="AC32" s="230"/>
      <c r="AD32" s="230"/>
      <c r="AE32" s="230"/>
      <c r="AF32" s="230"/>
      <c r="AG32" s="230"/>
      <c r="AH32" s="230"/>
      <c r="AI32" s="230"/>
      <c r="AJ32" s="230"/>
      <c r="AK32" s="230"/>
      <c r="AL32" s="230"/>
      <c r="AM32" s="230"/>
      <c r="AN32" s="230"/>
      <c r="AO32" s="230"/>
      <c r="AP32" s="230"/>
      <c r="AQ32" s="230"/>
      <c r="AR32" s="230"/>
      <c r="AS32" s="230"/>
      <c r="AT32" s="230"/>
      <c r="AW32" s="1" t="str">
        <v>Kentucky Higher Education Assistance Authority</v>
      </c>
      <c r="BP32" s="1" t="str">
        <v>Financial aid agency</v>
      </c>
    </row>
    <row r="33" spans="1:75" ht="12" customHeight="1" x14ac:dyDescent="0.35">
      <c r="AW33" s="1" t="str">
        <v>Kentucky Community and Technical College System Board of Regents</v>
      </c>
      <c r="BP33" s="1" t="str">
        <v>Governing</v>
      </c>
    </row>
    <row r="34" spans="1:75" ht="12" customHeight="1" x14ac:dyDescent="0.35">
      <c r="AW34" s="1" t="str">
        <v>Association of Independent Kentucky Colleges and Universities</v>
      </c>
      <c r="BP34" s="1" t="str">
        <v>Membership</v>
      </c>
    </row>
    <row r="35" spans="1:75" ht="12" customHeight="1" x14ac:dyDescent="0.35">
      <c r="Y35" s="227" t="s">
        <v>645</v>
      </c>
      <c r="Z35" s="227"/>
      <c r="AA35" s="227"/>
      <c r="AB35" s="227"/>
      <c r="AC35" s="227"/>
      <c r="AD35" s="227"/>
      <c r="AE35" s="227"/>
      <c r="AF35" s="227"/>
      <c r="AG35" s="227"/>
      <c r="AH35" s="227"/>
      <c r="AI35" s="227"/>
      <c r="AJ35" s="227" t="s">
        <v>646</v>
      </c>
      <c r="AK35" s="227"/>
      <c r="AL35" s="227"/>
      <c r="AM35" s="227"/>
      <c r="AN35" s="227"/>
      <c r="AO35" s="227"/>
      <c r="AP35" s="227"/>
      <c r="AQ35" s="227"/>
      <c r="AR35" s="227"/>
      <c r="AS35" s="227"/>
      <c r="AT35" s="227"/>
    </row>
    <row r="36" spans="1:75" ht="12" customHeight="1" x14ac:dyDescent="0.35">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row>
    <row r="37" spans="1:75" ht="12" customHeight="1" x14ac:dyDescent="0.35">
      <c r="C37" s="219" t="s">
        <v>747</v>
      </c>
      <c r="D37" s="219"/>
      <c r="E37" s="219"/>
      <c r="F37" s="219"/>
      <c r="G37" s="219"/>
      <c r="H37" s="219"/>
      <c r="I37" s="219"/>
      <c r="J37" s="219"/>
      <c r="K37" s="219"/>
      <c r="L37" s="219"/>
      <c r="M37" s="219"/>
      <c r="N37" s="219"/>
      <c r="O37" s="219"/>
      <c r="P37" s="219"/>
      <c r="Q37" s="219"/>
      <c r="R37" s="219"/>
      <c r="S37" s="219"/>
      <c r="T37" s="219"/>
      <c r="U37" s="219"/>
      <c r="V37" s="219"/>
      <c r="W37" s="10"/>
      <c r="X37" s="10"/>
      <c r="Y37" s="243">
        <f>VLOOKUP('State Detail'!$BM$7,RawData[[#All],[State]:[Opportunity to leverage existing policies and initiatives]],7,FALSE)</f>
        <v>2</v>
      </c>
      <c r="Z37" s="243"/>
      <c r="AA37" s="243"/>
      <c r="AB37" s="243"/>
      <c r="AC37" s="243"/>
      <c r="AD37" s="243"/>
      <c r="AE37" s="243"/>
      <c r="AF37" s="243"/>
      <c r="AG37" s="243"/>
      <c r="AH37" s="243"/>
      <c r="AI37" s="243"/>
      <c r="AJ37" s="243">
        <f>VLOOKUP('State Detail'!$BM$7,RawData[[#All],[State]:[Opportunity to leverage existing policies and initiatives]],10,FALSE)</f>
        <v>1</v>
      </c>
      <c r="AK37" s="243"/>
      <c r="AL37" s="243"/>
      <c r="AM37" s="243"/>
      <c r="AN37" s="243"/>
      <c r="AO37" s="243"/>
      <c r="AP37" s="243"/>
      <c r="AQ37" s="243"/>
      <c r="AR37" s="243"/>
      <c r="AS37" s="243"/>
      <c r="AT37" s="243"/>
    </row>
    <row r="38" spans="1:75" ht="12" customHeight="1" x14ac:dyDescent="0.35">
      <c r="C38" s="219"/>
      <c r="D38" s="219"/>
      <c r="E38" s="219"/>
      <c r="F38" s="219"/>
      <c r="G38" s="219"/>
      <c r="H38" s="219"/>
      <c r="I38" s="219"/>
      <c r="J38" s="219"/>
      <c r="K38" s="219"/>
      <c r="L38" s="219"/>
      <c r="M38" s="219"/>
      <c r="N38" s="219"/>
      <c r="O38" s="219"/>
      <c r="P38" s="219"/>
      <c r="Q38" s="219"/>
      <c r="R38" s="219"/>
      <c r="S38" s="219"/>
      <c r="T38" s="219"/>
      <c r="U38" s="219"/>
      <c r="V38" s="219"/>
      <c r="W38" s="10"/>
      <c r="X38" s="10"/>
      <c r="Y38" s="230"/>
      <c r="Z38" s="230"/>
      <c r="AA38" s="230"/>
      <c r="AB38" s="230"/>
      <c r="AC38" s="230"/>
      <c r="AD38" s="230"/>
      <c r="AE38" s="230"/>
      <c r="AF38" s="230"/>
      <c r="AG38" s="230"/>
      <c r="AH38" s="230"/>
      <c r="AI38" s="230"/>
      <c r="AJ38" s="230"/>
      <c r="AK38" s="230"/>
      <c r="AL38" s="230"/>
      <c r="AM38" s="230"/>
      <c r="AN38" s="230"/>
      <c r="AO38" s="230"/>
      <c r="AP38" s="230"/>
      <c r="AQ38" s="230"/>
      <c r="AR38" s="230"/>
      <c r="AS38" s="230"/>
      <c r="AT38" s="230"/>
    </row>
    <row r="45" spans="1:75" ht="12" customHeight="1" x14ac:dyDescent="0.35">
      <c r="A45" s="235" t="s">
        <v>15</v>
      </c>
      <c r="B45" s="235"/>
      <c r="C45" s="235"/>
      <c r="D45" s="235"/>
      <c r="E45" s="235"/>
      <c r="F45" s="235"/>
      <c r="G45" s="235"/>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235"/>
      <c r="AY45" s="235"/>
      <c r="AZ45" s="235"/>
      <c r="BA45" s="235"/>
      <c r="BB45" s="235"/>
      <c r="BC45" s="235"/>
      <c r="BD45" s="235"/>
      <c r="BE45" s="235"/>
      <c r="BF45" s="235"/>
      <c r="BG45" s="235"/>
      <c r="BH45" s="235"/>
      <c r="BI45" s="235"/>
      <c r="BJ45" s="235"/>
      <c r="BK45" s="235"/>
      <c r="BL45" s="235"/>
      <c r="BM45" s="235"/>
      <c r="BN45" s="235"/>
      <c r="BO45" s="235"/>
      <c r="BP45" s="235"/>
      <c r="BQ45" s="235"/>
      <c r="BR45" s="235"/>
      <c r="BS45" s="235"/>
      <c r="BT45" s="235"/>
      <c r="BU45" s="235"/>
      <c r="BV45" s="235"/>
      <c r="BW45" s="235"/>
    </row>
    <row r="46" spans="1:75" ht="12" customHeight="1" x14ac:dyDescent="0.35">
      <c r="A46" s="235"/>
      <c r="B46" s="235"/>
      <c r="C46" s="235"/>
      <c r="D46" s="235"/>
      <c r="E46" s="235"/>
      <c r="F46" s="235"/>
      <c r="G46" s="235"/>
      <c r="H46" s="235"/>
      <c r="I46" s="235"/>
      <c r="J46" s="235"/>
      <c r="K46" s="235"/>
      <c r="L46" s="235"/>
      <c r="M46" s="235"/>
      <c r="N46" s="235"/>
      <c r="O46" s="235"/>
      <c r="P46" s="235"/>
      <c r="Q46" s="235"/>
      <c r="R46" s="235"/>
      <c r="S46" s="235"/>
      <c r="T46" s="235"/>
      <c r="U46" s="235"/>
      <c r="V46" s="235"/>
      <c r="W46" s="235"/>
      <c r="X46" s="235"/>
      <c r="Y46" s="235"/>
      <c r="Z46" s="235"/>
      <c r="AA46" s="235"/>
      <c r="AB46" s="235"/>
      <c r="AC46" s="235"/>
      <c r="AD46" s="235"/>
      <c r="AE46" s="235"/>
      <c r="AF46" s="235"/>
      <c r="AG46" s="235"/>
      <c r="AH46" s="235"/>
      <c r="AI46" s="235"/>
      <c r="AJ46" s="235"/>
      <c r="AK46" s="235"/>
      <c r="AL46" s="235"/>
      <c r="AM46" s="235"/>
      <c r="AN46" s="235"/>
      <c r="AO46" s="235"/>
      <c r="AP46" s="235"/>
      <c r="AQ46" s="235"/>
      <c r="AR46" s="235"/>
      <c r="AS46" s="235"/>
      <c r="AT46" s="235"/>
      <c r="AU46" s="235"/>
      <c r="AV46" s="235"/>
      <c r="AW46" s="235"/>
      <c r="AX46" s="235"/>
      <c r="AY46" s="235"/>
      <c r="AZ46" s="235"/>
      <c r="BA46" s="235"/>
      <c r="BB46" s="235"/>
      <c r="BC46" s="235"/>
      <c r="BD46" s="235"/>
      <c r="BE46" s="235"/>
      <c r="BF46" s="235"/>
      <c r="BG46" s="235"/>
      <c r="BH46" s="235"/>
      <c r="BI46" s="235"/>
      <c r="BJ46" s="235"/>
      <c r="BK46" s="235"/>
      <c r="BL46" s="235"/>
      <c r="BM46" s="235"/>
      <c r="BN46" s="235"/>
      <c r="BO46" s="235"/>
      <c r="BP46" s="235"/>
      <c r="BQ46" s="235"/>
      <c r="BR46" s="235"/>
      <c r="BS46" s="235"/>
      <c r="BT46" s="235"/>
      <c r="BU46" s="235"/>
      <c r="BV46" s="235"/>
      <c r="BW46" s="235"/>
    </row>
    <row r="47" spans="1:75" ht="12" customHeight="1" outlineLevel="1" x14ac:dyDescent="0.35"/>
    <row r="48" spans="1:75" ht="12" customHeight="1" outlineLevel="1" x14ac:dyDescent="0.35">
      <c r="A48" s="225" t="s">
        <v>0</v>
      </c>
      <c r="B48" s="225"/>
      <c r="C48" s="225"/>
      <c r="D48" s="225"/>
      <c r="E48" s="225"/>
      <c r="F48" s="225"/>
      <c r="G48" s="225"/>
      <c r="H48" s="225"/>
      <c r="I48" s="225"/>
      <c r="J48" s="225"/>
      <c r="K48" s="225"/>
      <c r="L48" s="225"/>
      <c r="M48" s="225"/>
      <c r="N48" s="225"/>
      <c r="O48" s="225"/>
      <c r="P48" s="225"/>
      <c r="Q48" s="225"/>
      <c r="R48" s="225"/>
      <c r="S48" s="225"/>
      <c r="T48" s="225"/>
      <c r="U48" s="225"/>
      <c r="V48" s="225"/>
      <c r="W48" s="6"/>
      <c r="X48" s="6"/>
      <c r="Y48" s="6"/>
      <c r="Z48" s="6"/>
      <c r="AA48" s="6"/>
      <c r="AB48" s="6"/>
      <c r="AC48" s="6"/>
      <c r="AD48" s="6"/>
      <c r="AE48" s="6"/>
      <c r="AF48" s="6"/>
      <c r="AG48" s="6"/>
      <c r="AH48" s="6"/>
      <c r="AI48" s="6"/>
      <c r="AJ48" s="226" t="s">
        <v>5</v>
      </c>
      <c r="AK48" s="226"/>
      <c r="AL48" s="226"/>
      <c r="AM48" s="226"/>
      <c r="AN48" s="226"/>
      <c r="AO48" s="226"/>
      <c r="AP48" s="226"/>
      <c r="AQ48" s="226"/>
      <c r="AR48" s="226"/>
      <c r="AS48" s="226"/>
      <c r="AT48" s="232">
        <f>VLOOKUP('State Detail'!BM$7,'Int Data - Case 1'!A1:W55,9,FALSE)</f>
        <v>40.333333333333336</v>
      </c>
      <c r="AU48" s="232"/>
    </row>
    <row r="49" spans="1:78" ht="12" customHeight="1" outlineLevel="1" x14ac:dyDescent="0.35">
      <c r="A49" s="225"/>
      <c r="B49" s="225"/>
      <c r="C49" s="225"/>
      <c r="D49" s="225"/>
      <c r="E49" s="225"/>
      <c r="F49" s="225"/>
      <c r="G49" s="225"/>
      <c r="H49" s="225"/>
      <c r="I49" s="225"/>
      <c r="J49" s="225"/>
      <c r="K49" s="225"/>
      <c r="L49" s="225"/>
      <c r="M49" s="225"/>
      <c r="N49" s="225"/>
      <c r="O49" s="225"/>
      <c r="P49" s="225"/>
      <c r="Q49" s="225"/>
      <c r="R49" s="225"/>
      <c r="S49" s="225"/>
      <c r="T49" s="225"/>
      <c r="U49" s="225"/>
      <c r="V49" s="225"/>
      <c r="W49" s="6"/>
      <c r="X49" s="6"/>
      <c r="Y49" s="6"/>
      <c r="Z49" s="6"/>
      <c r="AA49" s="6"/>
      <c r="AB49" s="6"/>
      <c r="AC49" s="6"/>
      <c r="AD49" s="6"/>
      <c r="AE49" s="6"/>
      <c r="AF49" s="6"/>
      <c r="AG49" s="6"/>
      <c r="AH49" s="6"/>
      <c r="AI49" s="6"/>
      <c r="AJ49" s="226"/>
      <c r="AK49" s="226"/>
      <c r="AL49" s="226"/>
      <c r="AM49" s="226"/>
      <c r="AN49" s="226"/>
      <c r="AO49" s="226"/>
      <c r="AP49" s="226"/>
      <c r="AQ49" s="226"/>
      <c r="AR49" s="226"/>
      <c r="AS49" s="226"/>
      <c r="AT49" s="232"/>
      <c r="AU49" s="232"/>
    </row>
    <row r="50" spans="1:78" ht="12" customHeight="1" outlineLevel="1" x14ac:dyDescent="0.35">
      <c r="A50" s="5"/>
      <c r="B50" s="5"/>
      <c r="C50" s="5"/>
      <c r="D50" s="5"/>
      <c r="E50" s="5"/>
      <c r="F50" s="5"/>
      <c r="G50" s="5"/>
      <c r="H50" s="5"/>
      <c r="I50" s="5"/>
      <c r="J50" s="5"/>
      <c r="K50" s="5"/>
      <c r="L50" s="5"/>
      <c r="M50" s="5"/>
      <c r="N50" s="5"/>
      <c r="O50" s="5"/>
      <c r="P50" s="5"/>
      <c r="Q50" s="5"/>
      <c r="R50" s="5"/>
      <c r="S50" s="5"/>
      <c r="T50" s="5"/>
      <c r="U50" s="5"/>
      <c r="V50" s="5"/>
      <c r="AJ50" s="13"/>
      <c r="AK50" s="13"/>
      <c r="AL50" s="13"/>
      <c r="AM50" s="13"/>
      <c r="AN50" s="13"/>
      <c r="AO50" s="13"/>
      <c r="AP50" s="13"/>
      <c r="AQ50" s="13"/>
      <c r="AR50" s="13"/>
      <c r="AS50" s="13"/>
      <c r="AT50" s="3"/>
      <c r="AU50" s="3"/>
    </row>
    <row r="51" spans="1:78" ht="12" customHeight="1" outlineLevel="1" x14ac:dyDescent="0.35">
      <c r="A51" s="5"/>
      <c r="B51" s="5"/>
      <c r="C51" s="5"/>
      <c r="D51" s="5"/>
      <c r="E51" s="5"/>
      <c r="F51" s="5"/>
      <c r="G51" s="5"/>
      <c r="H51" s="5"/>
      <c r="I51" s="5"/>
      <c r="J51" s="5"/>
      <c r="K51" s="5"/>
      <c r="L51" s="5"/>
      <c r="M51" s="5"/>
      <c r="N51" s="5"/>
      <c r="O51" s="5"/>
      <c r="P51" s="5"/>
      <c r="Q51" s="5"/>
      <c r="R51" s="5"/>
      <c r="S51" s="5"/>
      <c r="T51" s="5"/>
      <c r="U51" s="5"/>
      <c r="V51" s="5"/>
      <c r="Y51" s="227" t="str">
        <f>BM$7</f>
        <v>Kentucky</v>
      </c>
      <c r="Z51" s="227"/>
      <c r="AA51" s="227"/>
      <c r="AB51" s="227"/>
      <c r="AC51" s="227"/>
      <c r="AD51" s="227"/>
      <c r="AE51" s="14"/>
      <c r="AF51" s="14"/>
      <c r="AG51" s="227" t="s">
        <v>3</v>
      </c>
      <c r="AH51" s="227"/>
      <c r="AI51" s="227"/>
      <c r="AJ51" s="227"/>
      <c r="AK51" s="227"/>
      <c r="AL51" s="227"/>
      <c r="AM51" s="14"/>
      <c r="AN51" s="14"/>
      <c r="AO51" s="227" t="s">
        <v>4</v>
      </c>
      <c r="AP51" s="227"/>
      <c r="AQ51" s="227"/>
      <c r="AR51" s="227"/>
      <c r="AS51" s="227"/>
      <c r="AT51" s="227"/>
    </row>
    <row r="52" spans="1:78" ht="12.75" customHeight="1" outlineLevel="1" x14ac:dyDescent="0.35">
      <c r="Y52" s="228"/>
      <c r="Z52" s="228"/>
      <c r="AA52" s="228"/>
      <c r="AB52" s="228"/>
      <c r="AC52" s="228"/>
      <c r="AD52" s="228"/>
      <c r="AE52" s="15"/>
      <c r="AF52" s="15"/>
      <c r="AG52" s="228"/>
      <c r="AH52" s="228"/>
      <c r="AI52" s="228"/>
      <c r="AJ52" s="228"/>
      <c r="AK52" s="228"/>
      <c r="AL52" s="228"/>
      <c r="AM52" s="15"/>
      <c r="AN52" s="15"/>
      <c r="AO52" s="228"/>
      <c r="AP52" s="228"/>
      <c r="AQ52" s="228"/>
      <c r="AR52" s="228"/>
      <c r="AS52" s="228"/>
      <c r="AT52" s="228"/>
    </row>
    <row r="53" spans="1:78" ht="12" customHeight="1" outlineLevel="1" x14ac:dyDescent="0.35">
      <c r="C53" s="219" t="s">
        <v>748</v>
      </c>
      <c r="D53" s="219"/>
      <c r="E53" s="219"/>
      <c r="F53" s="219"/>
      <c r="G53" s="219"/>
      <c r="H53" s="219"/>
      <c r="I53" s="219"/>
      <c r="J53" s="219"/>
      <c r="K53" s="219"/>
      <c r="L53" s="219"/>
      <c r="M53" s="219"/>
      <c r="N53" s="219"/>
      <c r="O53" s="219"/>
      <c r="P53" s="219"/>
      <c r="Q53" s="219"/>
      <c r="R53" s="219"/>
      <c r="S53" s="219"/>
      <c r="T53" s="219"/>
      <c r="U53" s="219"/>
      <c r="V53" s="219"/>
      <c r="W53" s="10"/>
      <c r="X53" s="10"/>
      <c r="Y53" s="221">
        <f>VLOOKUP('State Detail'!BM$7,RawData[[#All],[State]:[Opportunity to leverage existing policies and initiatives]],25,FALSE)</f>
        <v>0.30840000000000001</v>
      </c>
      <c r="Z53" s="221"/>
      <c r="AA53" s="221"/>
      <c r="AB53" s="221"/>
      <c r="AC53" s="221"/>
      <c r="AD53" s="221"/>
      <c r="AE53" s="202"/>
      <c r="AF53" s="202"/>
      <c r="AG53" s="221">
        <f>'Raw Data'!Y53</f>
        <v>0.298404</v>
      </c>
      <c r="AH53" s="221"/>
      <c r="AI53" s="221"/>
      <c r="AJ53" s="221"/>
      <c r="AK53" s="221"/>
      <c r="AL53" s="221"/>
      <c r="AM53" s="9"/>
      <c r="AN53" s="9"/>
      <c r="AO53" s="214">
        <f>VLOOKUP('State Detail'!BM$7,'Int Data - Case 1'!A1:W55,3,FALSE)</f>
        <v>21</v>
      </c>
      <c r="AP53" s="214"/>
      <c r="AQ53" s="214"/>
      <c r="AR53" s="214"/>
      <c r="AS53" s="214"/>
      <c r="AT53" s="214"/>
    </row>
    <row r="54" spans="1:78" ht="12" customHeight="1" outlineLevel="1" x14ac:dyDescent="0.35">
      <c r="C54" s="219"/>
      <c r="D54" s="219"/>
      <c r="E54" s="219"/>
      <c r="F54" s="219"/>
      <c r="G54" s="219"/>
      <c r="H54" s="219"/>
      <c r="I54" s="219"/>
      <c r="J54" s="219"/>
      <c r="K54" s="219"/>
      <c r="L54" s="219"/>
      <c r="M54" s="219"/>
      <c r="N54" s="219"/>
      <c r="O54" s="219"/>
      <c r="P54" s="219"/>
      <c r="Q54" s="219"/>
      <c r="R54" s="219"/>
      <c r="S54" s="219"/>
      <c r="T54" s="219"/>
      <c r="U54" s="219"/>
      <c r="V54" s="219"/>
      <c r="W54" s="10"/>
      <c r="X54" s="10"/>
      <c r="Y54" s="221"/>
      <c r="Z54" s="221"/>
      <c r="AA54" s="221"/>
      <c r="AB54" s="221"/>
      <c r="AC54" s="221"/>
      <c r="AD54" s="221"/>
      <c r="AE54" s="202"/>
      <c r="AF54" s="202"/>
      <c r="AG54" s="221"/>
      <c r="AH54" s="221"/>
      <c r="AI54" s="221"/>
      <c r="AJ54" s="221"/>
      <c r="AK54" s="221"/>
      <c r="AL54" s="221"/>
      <c r="AM54" s="9"/>
      <c r="AN54" s="9"/>
      <c r="AO54" s="214"/>
      <c r="AP54" s="214"/>
      <c r="AQ54" s="214"/>
      <c r="AR54" s="214"/>
      <c r="AS54" s="214"/>
      <c r="AT54" s="214"/>
    </row>
    <row r="55" spans="1:78" ht="12" customHeight="1" outlineLevel="1" x14ac:dyDescent="0.35">
      <c r="C55" s="4"/>
      <c r="D55" s="4"/>
      <c r="E55" s="4"/>
      <c r="F55" s="4"/>
      <c r="G55" s="4"/>
      <c r="H55" s="4"/>
      <c r="I55" s="4"/>
      <c r="J55" s="4"/>
      <c r="K55" s="4"/>
      <c r="L55" s="4"/>
      <c r="M55" s="4"/>
      <c r="N55" s="4"/>
      <c r="O55" s="4"/>
      <c r="P55" s="4"/>
      <c r="Q55" s="4"/>
      <c r="R55" s="4"/>
      <c r="S55" s="4"/>
      <c r="T55" s="4"/>
      <c r="U55" s="4"/>
      <c r="V55" s="4"/>
      <c r="Z55" s="8"/>
      <c r="AA55" s="8"/>
      <c r="AB55" s="8"/>
      <c r="AC55" s="8"/>
      <c r="AD55" s="8"/>
      <c r="AE55" s="8"/>
      <c r="AF55" s="8"/>
      <c r="AG55" s="8"/>
      <c r="AH55" s="8"/>
      <c r="AI55" s="8"/>
      <c r="AJ55" s="8"/>
      <c r="AK55" s="8"/>
      <c r="AL55" s="8"/>
      <c r="AM55" s="8"/>
      <c r="AN55" s="8"/>
      <c r="AO55" s="8"/>
      <c r="AP55" s="8"/>
      <c r="AQ55" s="8"/>
    </row>
    <row r="56" spans="1:78" ht="12" customHeight="1" outlineLevel="1" x14ac:dyDescent="0.35">
      <c r="Z56" s="8"/>
      <c r="AA56" s="8"/>
      <c r="AB56" s="8"/>
      <c r="AC56" s="8"/>
      <c r="AD56" s="8"/>
      <c r="AE56" s="8"/>
      <c r="AF56" s="8"/>
      <c r="AG56" s="8"/>
      <c r="AH56" s="8"/>
      <c r="AI56" s="8"/>
      <c r="AJ56" s="8"/>
      <c r="AK56" s="8"/>
      <c r="AL56" s="8"/>
      <c r="AM56" s="8"/>
      <c r="AN56" s="8"/>
      <c r="AO56" s="8"/>
      <c r="AP56" s="8"/>
      <c r="AQ56" s="8"/>
    </row>
    <row r="57" spans="1:78" ht="12" customHeight="1" outlineLevel="1" x14ac:dyDescent="0.35">
      <c r="C57" s="217" t="s">
        <v>749</v>
      </c>
      <c r="D57" s="217"/>
      <c r="E57" s="217"/>
      <c r="F57" s="217"/>
      <c r="G57" s="217"/>
      <c r="H57" s="217"/>
      <c r="I57" s="217"/>
      <c r="J57" s="217"/>
      <c r="K57" s="217"/>
      <c r="L57" s="217"/>
      <c r="M57" s="217"/>
      <c r="N57" s="217"/>
      <c r="O57" s="217"/>
      <c r="P57" s="217"/>
      <c r="Q57" s="217"/>
      <c r="R57" s="217"/>
      <c r="S57" s="217"/>
      <c r="T57" s="217"/>
      <c r="U57" s="217"/>
      <c r="V57" s="217"/>
      <c r="W57" s="10"/>
      <c r="X57" s="10"/>
      <c r="Y57" s="231">
        <f>VLOOKUP('State Detail'!BM$7,RawData[[#All],[State]:[Opportunity to leverage existing policies and initiatives]],26,FALSE)</f>
        <v>1.2430150781626939</v>
      </c>
      <c r="Z57" s="231"/>
      <c r="AA57" s="231"/>
      <c r="AB57" s="231"/>
      <c r="AC57" s="231"/>
      <c r="AD57" s="231"/>
      <c r="AE57" s="9"/>
      <c r="AF57" s="9"/>
      <c r="AG57" s="231">
        <f>'Raw Data'!Z53</f>
        <v>0.89917307289858261</v>
      </c>
      <c r="AH57" s="214"/>
      <c r="AI57" s="214"/>
      <c r="AJ57" s="214"/>
      <c r="AK57" s="214"/>
      <c r="AL57" s="214"/>
      <c r="AM57" s="9"/>
      <c r="AN57" s="9"/>
      <c r="AO57" s="214">
        <f>VLOOKUP('State Detail'!BM$7,'Int Data - Case 1'!A1:W55,4,FALSE)</f>
        <v>5</v>
      </c>
      <c r="AP57" s="214"/>
      <c r="AQ57" s="214"/>
      <c r="AR57" s="214"/>
      <c r="AS57" s="214"/>
      <c r="AT57" s="214"/>
    </row>
    <row r="58" spans="1:78" ht="12" customHeight="1" outlineLevel="1" x14ac:dyDescent="0.35">
      <c r="C58" s="217"/>
      <c r="D58" s="217"/>
      <c r="E58" s="217"/>
      <c r="F58" s="217"/>
      <c r="G58" s="217"/>
      <c r="H58" s="217"/>
      <c r="I58" s="217"/>
      <c r="J58" s="217"/>
      <c r="K58" s="217"/>
      <c r="L58" s="217"/>
      <c r="M58" s="217"/>
      <c r="N58" s="217"/>
      <c r="O58" s="217"/>
      <c r="P58" s="217"/>
      <c r="Q58" s="217"/>
      <c r="R58" s="217"/>
      <c r="S58" s="217"/>
      <c r="T58" s="217"/>
      <c r="U58" s="217"/>
      <c r="V58" s="217"/>
      <c r="W58" s="10"/>
      <c r="X58" s="10"/>
      <c r="Y58" s="231"/>
      <c r="Z58" s="231"/>
      <c r="AA58" s="231"/>
      <c r="AB58" s="231"/>
      <c r="AC58" s="231"/>
      <c r="AD58" s="231"/>
      <c r="AE58" s="9"/>
      <c r="AF58" s="9"/>
      <c r="AG58" s="214"/>
      <c r="AH58" s="214"/>
      <c r="AI58" s="214"/>
      <c r="AJ58" s="214"/>
      <c r="AK58" s="214"/>
      <c r="AL58" s="214"/>
      <c r="AM58" s="9"/>
      <c r="AN58" s="9"/>
      <c r="AO58" s="214"/>
      <c r="AP58" s="214"/>
      <c r="AQ58" s="214"/>
      <c r="AR58" s="214"/>
      <c r="AS58" s="214"/>
      <c r="AT58" s="214"/>
    </row>
    <row r="59" spans="1:78" ht="12" customHeight="1" outlineLevel="1" x14ac:dyDescent="0.35">
      <c r="J59" s="2"/>
      <c r="K59" s="2"/>
      <c r="L59" s="2"/>
      <c r="Z59" s="8"/>
      <c r="AA59" s="8"/>
      <c r="AB59" s="8"/>
      <c r="AC59" s="8"/>
      <c r="AD59" s="8"/>
      <c r="AE59" s="8"/>
      <c r="AF59" s="8"/>
      <c r="AG59" s="8"/>
      <c r="AH59" s="8"/>
      <c r="AI59" s="8"/>
      <c r="AJ59" s="8"/>
      <c r="AK59" s="8"/>
      <c r="AL59" s="8"/>
      <c r="AM59" s="8"/>
      <c r="AN59" s="8"/>
      <c r="AO59" s="8"/>
      <c r="AP59" s="8"/>
      <c r="AQ59" s="8"/>
    </row>
    <row r="60" spans="1:78" ht="12" customHeight="1" outlineLevel="1" x14ac:dyDescent="0.35">
      <c r="Z60" s="8"/>
      <c r="AA60" s="8"/>
      <c r="AB60" s="8"/>
      <c r="AC60" s="8"/>
      <c r="AD60" s="8"/>
      <c r="AE60" s="8"/>
      <c r="AF60" s="8"/>
      <c r="AG60" s="8"/>
      <c r="AH60" s="8"/>
      <c r="AI60" s="8"/>
      <c r="AJ60" s="8"/>
      <c r="AK60" s="8"/>
      <c r="AL60" s="8"/>
      <c r="AM60" s="8"/>
      <c r="AN60" s="8"/>
      <c r="AO60" s="8"/>
      <c r="AP60" s="8"/>
      <c r="AQ60" s="8"/>
    </row>
    <row r="61" spans="1:78" ht="12" customHeight="1" outlineLevel="1" x14ac:dyDescent="0.35">
      <c r="C61" s="219" t="s">
        <v>750</v>
      </c>
      <c r="D61" s="219"/>
      <c r="E61" s="219"/>
      <c r="F61" s="219"/>
      <c r="G61" s="219"/>
      <c r="H61" s="219"/>
      <c r="I61" s="219"/>
      <c r="J61" s="219"/>
      <c r="K61" s="219"/>
      <c r="L61" s="219"/>
      <c r="M61" s="219"/>
      <c r="N61" s="219"/>
      <c r="O61" s="219"/>
      <c r="P61" s="219"/>
      <c r="Q61" s="219"/>
      <c r="R61" s="219"/>
      <c r="S61" s="219"/>
      <c r="T61" s="219"/>
      <c r="U61" s="219"/>
      <c r="V61" s="219"/>
      <c r="W61" s="10"/>
      <c r="X61" s="10"/>
      <c r="Y61" s="221">
        <f>VLOOKUP('State Detail'!BM$7,RawData[[#All],[State]:[Opportunity to leverage existing policies and initiatives]],27,FALSE)/100</f>
        <v>5.0999999999999997E-2</v>
      </c>
      <c r="Z61" s="221"/>
      <c r="AA61" s="221"/>
      <c r="AB61" s="221"/>
      <c r="AC61" s="221"/>
      <c r="AD61" s="221"/>
      <c r="AE61" s="202"/>
      <c r="AF61" s="202"/>
      <c r="AG61" s="221">
        <f>'Raw Data'!AA53/100</f>
        <v>3.6819999999999999E-2</v>
      </c>
      <c r="AH61" s="221"/>
      <c r="AI61" s="221"/>
      <c r="AJ61" s="221"/>
      <c r="AK61" s="221"/>
      <c r="AL61" s="221"/>
      <c r="AM61" s="9"/>
      <c r="AN61" s="9"/>
      <c r="AO61" s="214">
        <f>VLOOKUP('State Detail'!BM$7,'Int Data - Case 1'!A1:W55,5,FALSE)</f>
        <v>3</v>
      </c>
      <c r="AP61" s="214"/>
      <c r="AQ61" s="214"/>
      <c r="AR61" s="214"/>
      <c r="AS61" s="214"/>
      <c r="AT61" s="214"/>
    </row>
    <row r="62" spans="1:78" ht="12" customHeight="1" outlineLevel="1" x14ac:dyDescent="0.35">
      <c r="C62" s="219"/>
      <c r="D62" s="219"/>
      <c r="E62" s="219"/>
      <c r="F62" s="219"/>
      <c r="G62" s="219"/>
      <c r="H62" s="219"/>
      <c r="I62" s="219"/>
      <c r="J62" s="219"/>
      <c r="K62" s="219"/>
      <c r="L62" s="219"/>
      <c r="M62" s="219"/>
      <c r="N62" s="219"/>
      <c r="O62" s="219"/>
      <c r="P62" s="219"/>
      <c r="Q62" s="219"/>
      <c r="R62" s="219"/>
      <c r="S62" s="219"/>
      <c r="T62" s="219"/>
      <c r="U62" s="219"/>
      <c r="V62" s="219"/>
      <c r="W62" s="10"/>
      <c r="X62" s="10"/>
      <c r="Y62" s="221"/>
      <c r="Z62" s="221"/>
      <c r="AA62" s="221"/>
      <c r="AB62" s="221"/>
      <c r="AC62" s="221"/>
      <c r="AD62" s="221"/>
      <c r="AE62" s="202"/>
      <c r="AF62" s="202"/>
      <c r="AG62" s="221"/>
      <c r="AH62" s="221"/>
      <c r="AI62" s="221"/>
      <c r="AJ62" s="221"/>
      <c r="AK62" s="221"/>
      <c r="AL62" s="221"/>
      <c r="AM62" s="9"/>
      <c r="AN62" s="9"/>
      <c r="AO62" s="214"/>
      <c r="AP62" s="214"/>
      <c r="AQ62" s="214"/>
      <c r="AR62" s="214"/>
      <c r="AS62" s="214"/>
      <c r="AT62" s="214"/>
    </row>
    <row r="63" spans="1:78" ht="12" customHeight="1" outlineLevel="1" x14ac:dyDescent="0.35">
      <c r="Z63" s="8"/>
      <c r="AA63" s="8"/>
      <c r="AB63" s="8"/>
      <c r="AC63" s="8"/>
      <c r="AD63" s="8"/>
      <c r="AE63" s="8"/>
      <c r="AF63" s="8"/>
      <c r="AG63" s="8"/>
      <c r="AH63" s="8"/>
      <c r="AI63" s="8"/>
      <c r="AJ63" s="8"/>
      <c r="AK63" s="8"/>
      <c r="AL63" s="8"/>
      <c r="AM63" s="8"/>
      <c r="AN63" s="8"/>
      <c r="AO63" s="8"/>
      <c r="AP63" s="8"/>
      <c r="AQ63" s="8"/>
      <c r="BE63" s="11"/>
      <c r="BF63" s="7"/>
      <c r="BG63" s="7"/>
      <c r="BH63" s="7"/>
      <c r="BI63" s="7"/>
      <c r="BJ63" s="7"/>
      <c r="BK63" s="7"/>
      <c r="BL63" s="7"/>
      <c r="BM63" s="11"/>
      <c r="BN63" s="7"/>
      <c r="BO63" s="7"/>
      <c r="BP63" s="7"/>
      <c r="BQ63" s="7"/>
      <c r="BR63" s="7"/>
      <c r="BS63" s="7"/>
      <c r="BT63" s="7"/>
      <c r="BU63" s="7"/>
      <c r="BV63" s="7"/>
      <c r="BW63" s="7"/>
      <c r="BX63" s="7"/>
      <c r="BY63" s="7"/>
      <c r="BZ63" s="7"/>
    </row>
    <row r="64" spans="1:78" ht="12" customHeight="1" outlineLevel="1" x14ac:dyDescent="0.35">
      <c r="BE64" s="7"/>
      <c r="BF64" s="7"/>
      <c r="BG64" s="7"/>
      <c r="BH64" s="7"/>
      <c r="BI64" s="7"/>
      <c r="BJ64" s="7"/>
      <c r="BK64" s="7"/>
      <c r="BL64" s="7"/>
      <c r="BM64" s="7"/>
      <c r="BN64" s="7"/>
      <c r="BO64" s="7"/>
      <c r="BP64" s="7"/>
      <c r="BQ64" s="7"/>
      <c r="BR64" s="7"/>
      <c r="BS64" s="7"/>
      <c r="BT64" s="7"/>
      <c r="BU64" s="7"/>
      <c r="BV64" s="7"/>
      <c r="BW64" s="7"/>
      <c r="BX64" s="7"/>
      <c r="BY64" s="7"/>
      <c r="BZ64" s="7"/>
    </row>
    <row r="65" spans="1:78" ht="12" customHeight="1" outlineLevel="1" x14ac:dyDescent="0.35">
      <c r="A65" s="225" t="s">
        <v>1</v>
      </c>
      <c r="B65" s="225"/>
      <c r="C65" s="225"/>
      <c r="D65" s="225"/>
      <c r="E65" s="225"/>
      <c r="F65" s="225"/>
      <c r="G65" s="225"/>
      <c r="H65" s="225"/>
      <c r="I65" s="225"/>
      <c r="J65" s="225"/>
      <c r="K65" s="225"/>
      <c r="L65" s="225"/>
      <c r="M65" s="225"/>
      <c r="N65" s="225"/>
      <c r="O65" s="225"/>
      <c r="P65" s="225"/>
      <c r="Q65" s="225"/>
      <c r="R65" s="225"/>
      <c r="S65" s="225"/>
      <c r="T65" s="225"/>
      <c r="U65" s="225"/>
      <c r="V65" s="225"/>
      <c r="W65" s="6"/>
      <c r="X65" s="6"/>
      <c r="Y65" s="6"/>
      <c r="Z65" s="6"/>
      <c r="AA65" s="6"/>
      <c r="AB65" s="6"/>
      <c r="AC65" s="6"/>
      <c r="AD65" s="6"/>
      <c r="AE65" s="6"/>
      <c r="AF65" s="6"/>
      <c r="AG65" s="6"/>
      <c r="AH65" s="6"/>
      <c r="AI65" s="6"/>
      <c r="AJ65" s="226" t="s">
        <v>5</v>
      </c>
      <c r="AK65" s="226"/>
      <c r="AL65" s="226"/>
      <c r="AM65" s="226"/>
      <c r="AN65" s="226"/>
      <c r="AO65" s="226"/>
      <c r="AP65" s="226"/>
      <c r="AQ65" s="226"/>
      <c r="AR65" s="226"/>
      <c r="AS65" s="226"/>
      <c r="AT65" s="232">
        <f>VLOOKUP('State Detail'!BM$7,'Int Data - Case 1'!A1:W55,10,FALSE)</f>
        <v>42.25</v>
      </c>
      <c r="AU65" s="232"/>
      <c r="BF65" s="8"/>
      <c r="BG65" s="8"/>
      <c r="BH65" s="8"/>
      <c r="BI65" s="8"/>
      <c r="BJ65" s="8"/>
      <c r="BK65" s="8"/>
      <c r="BL65" s="8"/>
      <c r="BM65" s="8"/>
      <c r="BN65" s="8"/>
      <c r="BO65" s="8"/>
      <c r="BP65" s="8"/>
      <c r="BQ65" s="8"/>
      <c r="BR65" s="8"/>
      <c r="BS65" s="8"/>
      <c r="BT65" s="8"/>
      <c r="BU65" s="8"/>
      <c r="BV65" s="8"/>
      <c r="BW65" s="8"/>
    </row>
    <row r="66" spans="1:78" ht="12" customHeight="1" outlineLevel="1" x14ac:dyDescent="0.35">
      <c r="A66" s="225"/>
      <c r="B66" s="225"/>
      <c r="C66" s="225"/>
      <c r="D66" s="225"/>
      <c r="E66" s="225"/>
      <c r="F66" s="225"/>
      <c r="G66" s="225"/>
      <c r="H66" s="225"/>
      <c r="I66" s="225"/>
      <c r="J66" s="225"/>
      <c r="K66" s="225"/>
      <c r="L66" s="225"/>
      <c r="M66" s="225"/>
      <c r="N66" s="225"/>
      <c r="O66" s="225"/>
      <c r="P66" s="225"/>
      <c r="Q66" s="225"/>
      <c r="R66" s="225"/>
      <c r="S66" s="225"/>
      <c r="T66" s="225"/>
      <c r="U66" s="225"/>
      <c r="V66" s="225"/>
      <c r="W66" s="6"/>
      <c r="X66" s="6"/>
      <c r="Y66" s="6"/>
      <c r="Z66" s="6"/>
      <c r="AA66" s="6"/>
      <c r="AB66" s="6"/>
      <c r="AC66" s="6"/>
      <c r="AD66" s="6"/>
      <c r="AE66" s="6"/>
      <c r="AF66" s="6"/>
      <c r="AG66" s="6"/>
      <c r="AH66" s="6"/>
      <c r="AI66" s="6"/>
      <c r="AJ66" s="226"/>
      <c r="AK66" s="226"/>
      <c r="AL66" s="226"/>
      <c r="AM66" s="226"/>
      <c r="AN66" s="226"/>
      <c r="AO66" s="226"/>
      <c r="AP66" s="226"/>
      <c r="AQ66" s="226"/>
      <c r="AR66" s="226"/>
      <c r="AS66" s="226"/>
      <c r="AT66" s="232"/>
      <c r="AU66" s="232"/>
      <c r="BF66" s="8"/>
      <c r="BG66" s="8"/>
      <c r="BH66" s="8"/>
      <c r="BI66" s="8"/>
      <c r="BJ66" s="8"/>
      <c r="BK66" s="8"/>
      <c r="BL66" s="8"/>
      <c r="BM66" s="8"/>
      <c r="BN66" s="8"/>
      <c r="BO66" s="8"/>
      <c r="BP66" s="8"/>
      <c r="BQ66" s="8"/>
      <c r="BR66" s="8"/>
      <c r="BS66" s="8"/>
      <c r="BT66" s="8"/>
      <c r="BU66" s="8"/>
      <c r="BV66" s="8"/>
      <c r="BW66" s="8"/>
    </row>
    <row r="67" spans="1:78" ht="12" customHeight="1" outlineLevel="1" x14ac:dyDescent="0.35">
      <c r="A67" s="5"/>
      <c r="B67" s="5"/>
      <c r="C67" s="5"/>
      <c r="D67" s="5"/>
      <c r="E67" s="5"/>
      <c r="F67" s="5"/>
      <c r="G67" s="5"/>
      <c r="H67" s="5"/>
      <c r="I67" s="5"/>
      <c r="J67" s="5"/>
      <c r="K67" s="5"/>
      <c r="L67" s="5"/>
      <c r="M67" s="5"/>
      <c r="N67" s="5"/>
      <c r="O67" s="5"/>
      <c r="P67" s="5"/>
      <c r="Q67" s="5"/>
      <c r="R67" s="5"/>
      <c r="S67" s="5"/>
      <c r="T67" s="5"/>
      <c r="U67" s="5"/>
      <c r="V67" s="5"/>
      <c r="AJ67" s="13"/>
      <c r="AK67" s="13"/>
      <c r="AL67" s="13"/>
      <c r="AM67" s="13"/>
      <c r="AN67" s="13"/>
      <c r="AO67" s="13"/>
      <c r="AP67" s="13"/>
      <c r="AQ67" s="13"/>
      <c r="AR67" s="13"/>
      <c r="AS67" s="13"/>
      <c r="AT67" s="3"/>
      <c r="AU67" s="3"/>
      <c r="BF67" s="8"/>
      <c r="BG67" s="8"/>
      <c r="BH67" s="8"/>
      <c r="BI67" s="8"/>
      <c r="BJ67" s="8"/>
      <c r="BK67" s="8"/>
      <c r="BL67" s="8"/>
      <c r="BM67" s="8"/>
      <c r="BN67" s="8"/>
      <c r="BO67" s="8"/>
      <c r="BP67" s="8"/>
      <c r="BQ67" s="8"/>
      <c r="BR67" s="8"/>
      <c r="BS67" s="8"/>
      <c r="BT67" s="8"/>
      <c r="BU67" s="8"/>
      <c r="BV67" s="8"/>
      <c r="BW67" s="8"/>
    </row>
    <row r="68" spans="1:78" ht="12" customHeight="1" outlineLevel="1" x14ac:dyDescent="0.35">
      <c r="C68" s="5"/>
      <c r="D68" s="5"/>
      <c r="E68" s="5"/>
      <c r="F68" s="5"/>
      <c r="G68" s="5"/>
      <c r="H68" s="5"/>
      <c r="I68" s="5"/>
      <c r="J68" s="5"/>
      <c r="K68" s="5"/>
      <c r="L68" s="5"/>
      <c r="M68" s="5"/>
      <c r="N68" s="5"/>
      <c r="O68" s="5"/>
      <c r="P68" s="5"/>
      <c r="Q68" s="5"/>
      <c r="R68" s="5"/>
      <c r="S68" s="5"/>
      <c r="T68" s="5"/>
      <c r="U68" s="5"/>
      <c r="V68" s="5"/>
      <c r="Y68" s="227" t="str">
        <f>BM$7</f>
        <v>Kentucky</v>
      </c>
      <c r="Z68" s="227"/>
      <c r="AA68" s="227"/>
      <c r="AB68" s="227"/>
      <c r="AC68" s="227"/>
      <c r="AD68" s="227"/>
      <c r="AE68" s="14"/>
      <c r="AF68" s="14"/>
      <c r="AG68" s="227" t="s">
        <v>3</v>
      </c>
      <c r="AH68" s="227"/>
      <c r="AI68" s="227"/>
      <c r="AJ68" s="227"/>
      <c r="AK68" s="227"/>
      <c r="AL68" s="227"/>
      <c r="AM68" s="14"/>
      <c r="AN68" s="14"/>
      <c r="AO68" s="227" t="s">
        <v>4</v>
      </c>
      <c r="AP68" s="227"/>
      <c r="AQ68" s="227"/>
      <c r="AR68" s="227"/>
      <c r="AS68" s="227"/>
      <c r="AT68" s="227"/>
      <c r="BE68" s="7"/>
      <c r="BF68" s="7"/>
      <c r="BG68" s="7"/>
      <c r="BH68" s="7"/>
      <c r="BI68" s="7"/>
      <c r="BJ68" s="7"/>
      <c r="BK68" s="7"/>
      <c r="BL68" s="7"/>
      <c r="BM68" s="7"/>
      <c r="BN68" s="7"/>
      <c r="BO68" s="7"/>
      <c r="BP68" s="7"/>
      <c r="BQ68" s="7"/>
      <c r="BR68" s="7"/>
      <c r="BS68" s="7"/>
      <c r="BT68" s="7"/>
      <c r="BU68" s="7"/>
      <c r="BV68" s="7"/>
      <c r="BW68" s="7"/>
      <c r="BX68" s="7"/>
      <c r="BY68" s="7"/>
      <c r="BZ68" s="7"/>
    </row>
    <row r="69" spans="1:78" ht="12" customHeight="1" outlineLevel="1" x14ac:dyDescent="0.35">
      <c r="Y69" s="228"/>
      <c r="Z69" s="228"/>
      <c r="AA69" s="228"/>
      <c r="AB69" s="228"/>
      <c r="AC69" s="228"/>
      <c r="AD69" s="228"/>
      <c r="AE69" s="15"/>
      <c r="AF69" s="15"/>
      <c r="AG69" s="228"/>
      <c r="AH69" s="228"/>
      <c r="AI69" s="228"/>
      <c r="AJ69" s="228"/>
      <c r="AK69" s="228"/>
      <c r="AL69" s="228"/>
      <c r="AM69" s="15"/>
      <c r="AN69" s="15"/>
      <c r="AO69" s="228"/>
      <c r="AP69" s="228"/>
      <c r="AQ69" s="228"/>
      <c r="AR69" s="228"/>
      <c r="AS69" s="228"/>
      <c r="AT69" s="228"/>
      <c r="BE69" s="7"/>
      <c r="BF69" s="7"/>
      <c r="BG69" s="7"/>
      <c r="BH69" s="7"/>
      <c r="BI69" s="7"/>
      <c r="BJ69" s="7"/>
      <c r="BK69" s="7"/>
      <c r="BL69" s="7"/>
      <c r="BM69" s="7"/>
      <c r="BN69" s="7"/>
      <c r="BO69" s="7"/>
      <c r="BP69" s="7"/>
      <c r="BQ69" s="7"/>
      <c r="BR69" s="7"/>
      <c r="BS69" s="7"/>
      <c r="BT69" s="7"/>
      <c r="BU69" s="7"/>
      <c r="BV69" s="7"/>
      <c r="BW69" s="7"/>
      <c r="BX69" s="7"/>
      <c r="BY69" s="7"/>
      <c r="BZ69" s="7"/>
    </row>
    <row r="70" spans="1:78" ht="12" customHeight="1" outlineLevel="1" x14ac:dyDescent="0.35">
      <c r="C70" s="219" t="s">
        <v>751</v>
      </c>
      <c r="D70" s="219"/>
      <c r="E70" s="219"/>
      <c r="F70" s="219"/>
      <c r="G70" s="219"/>
      <c r="H70" s="219"/>
      <c r="I70" s="219"/>
      <c r="J70" s="219"/>
      <c r="K70" s="219"/>
      <c r="L70" s="219"/>
      <c r="M70" s="219"/>
      <c r="N70" s="219"/>
      <c r="O70" s="219"/>
      <c r="P70" s="219"/>
      <c r="Q70" s="219"/>
      <c r="R70" s="219"/>
      <c r="S70" s="219"/>
      <c r="T70" s="219"/>
      <c r="U70" s="219"/>
      <c r="V70" s="219"/>
      <c r="W70" s="10"/>
      <c r="X70" s="10"/>
      <c r="Y70" s="221">
        <f>VLOOKUP('State Detail'!BM$7,RawData[[#All],[State]:[Opportunity to leverage existing policies and initiatives]],28,FALSE)</f>
        <v>0.38300000000000001</v>
      </c>
      <c r="Z70" s="221"/>
      <c r="AA70" s="221"/>
      <c r="AB70" s="221"/>
      <c r="AC70" s="221"/>
      <c r="AD70" s="221"/>
      <c r="AE70" s="202"/>
      <c r="AF70" s="202"/>
      <c r="AG70" s="221">
        <f>'Raw Data'!AB53</f>
        <v>0.45114000000000026</v>
      </c>
      <c r="AH70" s="221"/>
      <c r="AI70" s="221"/>
      <c r="AJ70" s="221"/>
      <c r="AK70" s="221"/>
      <c r="AL70" s="221"/>
      <c r="AM70" s="9"/>
      <c r="AN70" s="9"/>
      <c r="AO70" s="214">
        <f>VLOOKUP('State Detail'!BM$7,'Int Data - Case 1'!A1:W55,6,FALSE)</f>
        <v>7.5</v>
      </c>
      <c r="AP70" s="214"/>
      <c r="AQ70" s="214"/>
      <c r="AR70" s="214"/>
      <c r="AS70" s="214"/>
      <c r="AT70" s="214"/>
      <c r="AZ70" s="12"/>
      <c r="BA70" s="12"/>
      <c r="BB70" s="12"/>
      <c r="BC70" s="12"/>
      <c r="BD70" s="12"/>
      <c r="BE70" s="12"/>
      <c r="BF70" s="12"/>
      <c r="BG70" s="12"/>
      <c r="BH70" s="12"/>
      <c r="BI70" s="12"/>
      <c r="BJ70" s="12"/>
      <c r="BK70" s="12"/>
      <c r="BL70" s="12"/>
      <c r="BM70" s="12"/>
      <c r="BN70" s="12"/>
      <c r="BO70" s="12"/>
      <c r="BP70" s="12"/>
      <c r="BQ70" s="12"/>
      <c r="BR70" s="12"/>
      <c r="BS70" s="12"/>
      <c r="BT70" s="12"/>
      <c r="BU70" s="12"/>
      <c r="BV70" s="12"/>
      <c r="BW70" s="12"/>
    </row>
    <row r="71" spans="1:78" ht="12" customHeight="1" outlineLevel="1" x14ac:dyDescent="0.35">
      <c r="C71" s="219"/>
      <c r="D71" s="219"/>
      <c r="E71" s="219"/>
      <c r="F71" s="219"/>
      <c r="G71" s="219"/>
      <c r="H71" s="219"/>
      <c r="I71" s="219"/>
      <c r="J71" s="219"/>
      <c r="K71" s="219"/>
      <c r="L71" s="219"/>
      <c r="M71" s="219"/>
      <c r="N71" s="219"/>
      <c r="O71" s="219"/>
      <c r="P71" s="219"/>
      <c r="Q71" s="219"/>
      <c r="R71" s="219"/>
      <c r="S71" s="219"/>
      <c r="T71" s="219"/>
      <c r="U71" s="219"/>
      <c r="V71" s="219"/>
      <c r="W71" s="10"/>
      <c r="X71" s="10"/>
      <c r="Y71" s="221"/>
      <c r="Z71" s="221"/>
      <c r="AA71" s="221"/>
      <c r="AB71" s="221"/>
      <c r="AC71" s="221"/>
      <c r="AD71" s="221"/>
      <c r="AE71" s="202"/>
      <c r="AF71" s="202"/>
      <c r="AG71" s="221"/>
      <c r="AH71" s="221"/>
      <c r="AI71" s="221"/>
      <c r="AJ71" s="221"/>
      <c r="AK71" s="221"/>
      <c r="AL71" s="221"/>
      <c r="AM71" s="9"/>
      <c r="AN71" s="9"/>
      <c r="AO71" s="214"/>
      <c r="AP71" s="214"/>
      <c r="AQ71" s="214"/>
      <c r="AR71" s="214"/>
      <c r="AS71" s="214"/>
      <c r="AT71" s="214"/>
      <c r="AY71" s="12"/>
      <c r="AZ71" s="12"/>
      <c r="BA71" s="12"/>
      <c r="BB71" s="12"/>
      <c r="BC71" s="12"/>
      <c r="BD71" s="12"/>
      <c r="BE71" s="12"/>
      <c r="BF71" s="12"/>
      <c r="BG71" s="12"/>
      <c r="BH71" s="12"/>
      <c r="BI71" s="12"/>
      <c r="BJ71" s="12"/>
      <c r="BK71" s="12"/>
      <c r="BL71" s="12"/>
      <c r="BM71" s="12"/>
      <c r="BN71" s="12"/>
      <c r="BO71" s="12"/>
      <c r="BP71" s="12"/>
      <c r="BQ71" s="12"/>
      <c r="BR71" s="12"/>
      <c r="BS71" s="12"/>
      <c r="BT71" s="12"/>
      <c r="BU71" s="12"/>
      <c r="BV71" s="12"/>
      <c r="BW71" s="12"/>
    </row>
    <row r="72" spans="1:78" ht="12" customHeight="1" outlineLevel="1" x14ac:dyDescent="0.35">
      <c r="C72" s="4"/>
      <c r="D72" s="4"/>
      <c r="E72" s="4"/>
      <c r="F72" s="4"/>
      <c r="G72" s="4"/>
      <c r="H72" s="4"/>
      <c r="I72" s="4"/>
      <c r="J72" s="4"/>
      <c r="K72" s="4"/>
      <c r="L72" s="4"/>
      <c r="M72" s="4"/>
      <c r="N72" s="4"/>
      <c r="O72" s="4"/>
      <c r="P72" s="4"/>
      <c r="Q72" s="4"/>
      <c r="R72" s="4"/>
      <c r="S72" s="4"/>
      <c r="T72" s="4"/>
      <c r="U72" s="4"/>
      <c r="V72" s="4"/>
      <c r="Z72" s="8"/>
      <c r="AA72" s="8"/>
      <c r="AB72" s="8"/>
      <c r="AC72" s="8"/>
      <c r="AD72" s="8"/>
      <c r="AE72" s="8"/>
      <c r="AF72" s="8"/>
      <c r="AG72" s="8"/>
      <c r="AH72" s="8"/>
      <c r="AI72" s="8"/>
      <c r="AJ72" s="8"/>
      <c r="AK72" s="8"/>
      <c r="AL72" s="8"/>
      <c r="AM72" s="8"/>
      <c r="AN72" s="8"/>
      <c r="AO72" s="8"/>
      <c r="AP72" s="8"/>
      <c r="AQ72" s="8"/>
      <c r="AY72" s="12"/>
      <c r="AZ72" s="12"/>
      <c r="BA72" s="12"/>
      <c r="BB72" s="12"/>
      <c r="BC72" s="12"/>
      <c r="BD72" s="12"/>
      <c r="BE72" s="12"/>
      <c r="BF72" s="12"/>
      <c r="BG72" s="12"/>
      <c r="BH72" s="12"/>
      <c r="BI72" s="12"/>
      <c r="BJ72" s="12"/>
      <c r="BK72" s="12"/>
      <c r="BL72" s="12"/>
      <c r="BM72" s="12"/>
      <c r="BN72" s="12"/>
      <c r="BO72" s="12"/>
      <c r="BP72" s="12"/>
      <c r="BQ72" s="12"/>
      <c r="BR72" s="12"/>
      <c r="BS72" s="12"/>
      <c r="BT72" s="12"/>
      <c r="BU72" s="12"/>
      <c r="BV72" s="12"/>
      <c r="BW72" s="12"/>
    </row>
    <row r="73" spans="1:78" ht="12" customHeight="1" outlineLevel="1" x14ac:dyDescent="0.35">
      <c r="Z73" s="8"/>
      <c r="AA73" s="8"/>
      <c r="AB73" s="8"/>
      <c r="AC73" s="8"/>
      <c r="AD73" s="8"/>
      <c r="AE73" s="8"/>
      <c r="AF73" s="8"/>
      <c r="AG73" s="8"/>
      <c r="AH73" s="8"/>
      <c r="AI73" s="8"/>
      <c r="AJ73" s="8"/>
      <c r="AK73" s="8"/>
      <c r="AL73" s="8"/>
      <c r="AM73" s="8"/>
      <c r="AN73" s="8"/>
      <c r="AO73" s="8"/>
      <c r="AP73" s="8"/>
      <c r="AQ73" s="8"/>
      <c r="AW73" s="223" t="s">
        <v>203</v>
      </c>
      <c r="AX73" s="223"/>
      <c r="AY73" s="223"/>
      <c r="AZ73" s="223"/>
      <c r="BA73" s="223"/>
      <c r="BB73" s="223"/>
      <c r="BC73" s="223"/>
      <c r="BD73" s="223"/>
      <c r="BE73" s="223"/>
      <c r="BF73" s="223"/>
      <c r="BG73" s="223"/>
      <c r="BH73" s="223"/>
      <c r="BI73" s="223"/>
      <c r="BJ73" s="223"/>
      <c r="BK73" s="223"/>
      <c r="BL73" s="223"/>
      <c r="BM73" s="223"/>
      <c r="BN73" s="223"/>
      <c r="BO73" s="223"/>
      <c r="BP73" s="223"/>
      <c r="BQ73" s="223"/>
      <c r="BR73" s="222">
        <f>VLOOKUP($BM$7,'Int Data - Case 1'!A1:W51,13,FALSE)</f>
        <v>2</v>
      </c>
      <c r="BS73" s="222"/>
      <c r="BT73" s="222"/>
      <c r="BU73" s="222"/>
      <c r="BV73" s="222"/>
      <c r="BW73" s="222"/>
    </row>
    <row r="74" spans="1:78" ht="12" customHeight="1" outlineLevel="1" x14ac:dyDescent="0.35">
      <c r="C74" s="217" t="s">
        <v>752</v>
      </c>
      <c r="D74" s="217"/>
      <c r="E74" s="217"/>
      <c r="F74" s="217"/>
      <c r="G74" s="217"/>
      <c r="H74" s="217"/>
      <c r="I74" s="217"/>
      <c r="J74" s="217"/>
      <c r="K74" s="217"/>
      <c r="L74" s="217"/>
      <c r="M74" s="217"/>
      <c r="N74" s="217"/>
      <c r="O74" s="217"/>
      <c r="P74" s="217"/>
      <c r="Q74" s="217"/>
      <c r="R74" s="217"/>
      <c r="S74" s="217"/>
      <c r="T74" s="217"/>
      <c r="U74" s="217"/>
      <c r="V74" s="217"/>
      <c r="W74" s="10"/>
      <c r="X74" s="10"/>
      <c r="Y74" s="241">
        <f>VLOOKUP('State Detail'!BM$7,RawData[[#All],[State]:[Opportunity to leverage existing policies and initiatives]],29,FALSE)</f>
        <v>2724</v>
      </c>
      <c r="Z74" s="241"/>
      <c r="AA74" s="241"/>
      <c r="AB74" s="241"/>
      <c r="AC74" s="241"/>
      <c r="AD74" s="241"/>
      <c r="AE74" s="152"/>
      <c r="AF74" s="152"/>
      <c r="AG74" s="241">
        <f>'Raw Data'!AC53</f>
        <v>2216.48</v>
      </c>
      <c r="AH74" s="241"/>
      <c r="AI74" s="241"/>
      <c r="AJ74" s="241"/>
      <c r="AK74" s="241"/>
      <c r="AL74" s="241"/>
      <c r="AM74" s="9"/>
      <c r="AN74" s="9"/>
      <c r="AO74" s="214">
        <f>VLOOKUP('State Detail'!BM$7,'Int Data - Case 1'!A1:W55,7,FALSE)</f>
        <v>8</v>
      </c>
      <c r="AP74" s="214"/>
      <c r="AQ74" s="214"/>
      <c r="AR74" s="214"/>
      <c r="AS74" s="214"/>
      <c r="AT74" s="214"/>
      <c r="AW74" s="223"/>
      <c r="AX74" s="223"/>
      <c r="AY74" s="223"/>
      <c r="AZ74" s="223"/>
      <c r="BA74" s="223"/>
      <c r="BB74" s="223"/>
      <c r="BC74" s="223"/>
      <c r="BD74" s="223"/>
      <c r="BE74" s="223"/>
      <c r="BF74" s="223"/>
      <c r="BG74" s="223"/>
      <c r="BH74" s="223"/>
      <c r="BI74" s="223"/>
      <c r="BJ74" s="223"/>
      <c r="BK74" s="223"/>
      <c r="BL74" s="223"/>
      <c r="BM74" s="223"/>
      <c r="BN74" s="223"/>
      <c r="BO74" s="223"/>
      <c r="BP74" s="223"/>
      <c r="BQ74" s="223"/>
      <c r="BR74" s="222"/>
      <c r="BS74" s="222"/>
      <c r="BT74" s="222"/>
      <c r="BU74" s="222"/>
      <c r="BV74" s="222"/>
      <c r="BW74" s="222"/>
    </row>
    <row r="75" spans="1:78" ht="12" customHeight="1" outlineLevel="1" x14ac:dyDescent="0.35">
      <c r="C75" s="217"/>
      <c r="D75" s="217"/>
      <c r="E75" s="217"/>
      <c r="F75" s="217"/>
      <c r="G75" s="217"/>
      <c r="H75" s="217"/>
      <c r="I75" s="217"/>
      <c r="J75" s="217"/>
      <c r="K75" s="217"/>
      <c r="L75" s="217"/>
      <c r="M75" s="217"/>
      <c r="N75" s="217"/>
      <c r="O75" s="217"/>
      <c r="P75" s="217"/>
      <c r="Q75" s="217"/>
      <c r="R75" s="217"/>
      <c r="S75" s="217"/>
      <c r="T75" s="217"/>
      <c r="U75" s="217"/>
      <c r="V75" s="217"/>
      <c r="W75" s="10"/>
      <c r="X75" s="10"/>
      <c r="Y75" s="241"/>
      <c r="Z75" s="241"/>
      <c r="AA75" s="241"/>
      <c r="AB75" s="241"/>
      <c r="AC75" s="241"/>
      <c r="AD75" s="241"/>
      <c r="AE75" s="152"/>
      <c r="AF75" s="152"/>
      <c r="AG75" s="241"/>
      <c r="AH75" s="241"/>
      <c r="AI75" s="241"/>
      <c r="AJ75" s="241"/>
      <c r="AK75" s="241"/>
      <c r="AL75" s="241"/>
      <c r="AM75" s="9"/>
      <c r="AN75" s="9"/>
      <c r="AO75" s="214"/>
      <c r="AP75" s="214"/>
      <c r="AQ75" s="214"/>
      <c r="AR75" s="214"/>
      <c r="AS75" s="214"/>
      <c r="AT75" s="214"/>
      <c r="AW75" s="223"/>
      <c r="AX75" s="223"/>
      <c r="AY75" s="223"/>
      <c r="AZ75" s="223"/>
      <c r="BA75" s="223"/>
      <c r="BB75" s="223"/>
      <c r="BC75" s="223"/>
      <c r="BD75" s="223"/>
      <c r="BE75" s="223"/>
      <c r="BF75" s="223"/>
      <c r="BG75" s="223"/>
      <c r="BH75" s="223"/>
      <c r="BI75" s="223"/>
      <c r="BJ75" s="223"/>
      <c r="BK75" s="223"/>
      <c r="BL75" s="223"/>
      <c r="BM75" s="223"/>
      <c r="BN75" s="223"/>
      <c r="BO75" s="223"/>
      <c r="BP75" s="223"/>
      <c r="BQ75" s="223"/>
      <c r="BR75" s="222"/>
      <c r="BS75" s="222"/>
      <c r="BT75" s="222"/>
      <c r="BU75" s="222"/>
      <c r="BV75" s="222"/>
      <c r="BW75" s="222"/>
    </row>
    <row r="76" spans="1:78" ht="12" customHeight="1" outlineLevel="1" x14ac:dyDescent="0.35">
      <c r="J76" s="2"/>
      <c r="K76" s="2"/>
      <c r="L76" s="2"/>
      <c r="Z76" s="8"/>
      <c r="AA76" s="8"/>
      <c r="AB76" s="8"/>
      <c r="AC76" s="8"/>
      <c r="AD76" s="8"/>
      <c r="AE76" s="8"/>
      <c r="AF76" s="8"/>
      <c r="AG76" s="8"/>
      <c r="AH76" s="8"/>
      <c r="AI76" s="8"/>
      <c r="AJ76" s="8"/>
      <c r="AK76" s="8"/>
      <c r="AL76" s="8"/>
      <c r="AM76" s="8"/>
      <c r="AN76" s="8"/>
      <c r="AO76" s="8"/>
      <c r="AP76" s="8"/>
      <c r="AQ76" s="8"/>
    </row>
    <row r="77" spans="1:78" ht="12" customHeight="1" outlineLevel="1" x14ac:dyDescent="0.35">
      <c r="J77" s="2"/>
      <c r="K77" s="2"/>
      <c r="L77" s="2"/>
      <c r="Z77" s="8"/>
      <c r="AA77" s="8"/>
      <c r="AB77" s="8"/>
      <c r="AC77" s="8"/>
      <c r="AD77" s="8"/>
      <c r="AE77" s="8"/>
      <c r="AF77" s="8"/>
      <c r="AG77" s="8"/>
      <c r="AH77" s="8"/>
      <c r="AI77" s="8"/>
      <c r="AJ77" s="8"/>
      <c r="AK77" s="8"/>
      <c r="AL77" s="8"/>
      <c r="AM77" s="8"/>
      <c r="AN77" s="8"/>
      <c r="AO77" s="8"/>
      <c r="AP77" s="8"/>
      <c r="AQ77" s="8"/>
    </row>
    <row r="78" spans="1:78" ht="12" customHeight="1" outlineLevel="1" x14ac:dyDescent="0.35">
      <c r="A78" s="225" t="s">
        <v>643</v>
      </c>
      <c r="B78" s="225"/>
      <c r="C78" s="225"/>
      <c r="D78" s="225"/>
      <c r="E78" s="225"/>
      <c r="F78" s="225"/>
      <c r="G78" s="225"/>
      <c r="H78" s="225"/>
      <c r="I78" s="225"/>
      <c r="J78" s="225"/>
      <c r="K78" s="225"/>
      <c r="L78" s="225"/>
      <c r="M78" s="225"/>
      <c r="N78" s="225"/>
      <c r="O78" s="225"/>
      <c r="P78" s="225"/>
      <c r="Q78" s="225"/>
      <c r="R78" s="225"/>
      <c r="S78" s="225"/>
      <c r="T78" s="225"/>
      <c r="U78" s="225"/>
      <c r="V78" s="225"/>
      <c r="W78" s="6"/>
      <c r="X78" s="6"/>
      <c r="Y78" s="6"/>
      <c r="Z78" s="6"/>
      <c r="AA78" s="6"/>
      <c r="AB78" s="6"/>
      <c r="AC78" s="6"/>
      <c r="AD78" s="6"/>
      <c r="AE78" s="6"/>
      <c r="AF78" s="6"/>
      <c r="AG78" s="6"/>
      <c r="AH78" s="6"/>
      <c r="AI78" s="6"/>
      <c r="AJ78" s="226"/>
      <c r="AK78" s="226"/>
      <c r="AL78" s="226"/>
      <c r="AM78" s="226"/>
      <c r="AN78" s="226"/>
      <c r="AO78" s="226"/>
      <c r="AP78" s="226"/>
      <c r="AQ78" s="226"/>
      <c r="AR78" s="226"/>
      <c r="AS78" s="226"/>
      <c r="AT78" s="6"/>
      <c r="AU78" s="6"/>
      <c r="BF78" s="8"/>
      <c r="BG78" s="8"/>
      <c r="BH78" s="8"/>
      <c r="BI78" s="8"/>
      <c r="BJ78" s="8"/>
      <c r="BK78" s="8"/>
      <c r="BL78" s="8"/>
      <c r="BM78" s="8"/>
      <c r="BN78" s="8"/>
      <c r="BO78" s="8"/>
      <c r="BP78" s="8"/>
      <c r="BQ78" s="8"/>
      <c r="BR78" s="8"/>
      <c r="BS78" s="8"/>
      <c r="BT78" s="8"/>
      <c r="BU78" s="8"/>
      <c r="BV78" s="8"/>
      <c r="BW78" s="8"/>
    </row>
    <row r="79" spans="1:78" ht="12" customHeight="1" outlineLevel="1" x14ac:dyDescent="0.35">
      <c r="A79" s="225"/>
      <c r="B79" s="225"/>
      <c r="C79" s="225"/>
      <c r="D79" s="225"/>
      <c r="E79" s="225"/>
      <c r="F79" s="225"/>
      <c r="G79" s="225"/>
      <c r="H79" s="225"/>
      <c r="I79" s="225"/>
      <c r="J79" s="225"/>
      <c r="K79" s="225"/>
      <c r="L79" s="225"/>
      <c r="M79" s="225"/>
      <c r="N79" s="225"/>
      <c r="O79" s="225"/>
      <c r="P79" s="225"/>
      <c r="Q79" s="225"/>
      <c r="R79" s="225"/>
      <c r="S79" s="225"/>
      <c r="T79" s="225"/>
      <c r="U79" s="225"/>
      <c r="V79" s="225"/>
      <c r="W79" s="6"/>
      <c r="X79" s="6"/>
      <c r="Y79" s="6"/>
      <c r="Z79" s="6"/>
      <c r="AA79" s="6"/>
      <c r="AB79" s="6"/>
      <c r="AC79" s="6"/>
      <c r="AD79" s="6"/>
      <c r="AE79" s="6"/>
      <c r="AF79" s="6"/>
      <c r="AG79" s="6"/>
      <c r="AH79" s="6"/>
      <c r="AI79" s="6"/>
      <c r="AJ79" s="226"/>
      <c r="AK79" s="226"/>
      <c r="AL79" s="226"/>
      <c r="AM79" s="226"/>
      <c r="AN79" s="226"/>
      <c r="AO79" s="226"/>
      <c r="AP79" s="226"/>
      <c r="AQ79" s="226"/>
      <c r="AR79" s="226"/>
      <c r="AS79" s="226"/>
      <c r="AT79" s="6"/>
      <c r="AU79" s="6"/>
      <c r="BF79" s="8"/>
      <c r="BG79" s="8"/>
      <c r="BH79" s="8"/>
      <c r="BI79" s="8"/>
      <c r="BJ79" s="8"/>
      <c r="BK79" s="8"/>
      <c r="BL79" s="8"/>
      <c r="BM79" s="8"/>
      <c r="BN79" s="8"/>
      <c r="BO79" s="8"/>
      <c r="BP79" s="8"/>
      <c r="BQ79" s="8"/>
      <c r="BR79" s="8"/>
      <c r="BS79" s="8"/>
      <c r="BT79" s="8"/>
      <c r="BU79" s="8"/>
      <c r="BV79" s="8"/>
      <c r="BW79" s="8"/>
    </row>
    <row r="80" spans="1:78" ht="12" customHeight="1" outlineLevel="1" x14ac:dyDescent="0.35">
      <c r="J80" s="2"/>
      <c r="K80" s="2"/>
      <c r="L80" s="2"/>
      <c r="Z80" s="8"/>
      <c r="AA80" s="8"/>
      <c r="AB80" s="8"/>
      <c r="AC80" s="8"/>
      <c r="AD80" s="8"/>
      <c r="AE80" s="8"/>
      <c r="AF80" s="8"/>
      <c r="AG80" s="8"/>
      <c r="AH80" s="8"/>
      <c r="AI80" s="8"/>
      <c r="AJ80" s="8"/>
      <c r="AK80" s="8"/>
      <c r="AL80" s="8"/>
      <c r="AM80" s="8"/>
      <c r="AN80" s="8"/>
      <c r="AO80" s="8"/>
      <c r="AP80" s="8"/>
      <c r="AQ80" s="8"/>
    </row>
    <row r="81" spans="1:75" ht="12" customHeight="1" outlineLevel="1" x14ac:dyDescent="0.35">
      <c r="C81" s="5"/>
      <c r="D81" s="5"/>
      <c r="E81" s="5"/>
      <c r="F81" s="5"/>
      <c r="G81" s="5"/>
      <c r="H81" s="5"/>
      <c r="I81" s="5"/>
      <c r="J81" s="5"/>
      <c r="K81" s="5"/>
      <c r="L81" s="5"/>
      <c r="M81" s="5"/>
      <c r="N81" s="5"/>
      <c r="O81" s="5"/>
      <c r="P81" s="5"/>
      <c r="Q81" s="5"/>
      <c r="R81" s="5"/>
      <c r="S81" s="5"/>
      <c r="T81" s="5"/>
      <c r="U81" s="5"/>
      <c r="V81" s="5"/>
      <c r="Y81" s="227" t="str">
        <f>BM$7</f>
        <v>Kentucky</v>
      </c>
      <c r="Z81" s="227"/>
      <c r="AA81" s="227"/>
      <c r="AB81" s="227"/>
      <c r="AC81" s="227"/>
      <c r="AD81" s="227"/>
      <c r="AE81" s="14"/>
      <c r="AF81" s="14"/>
      <c r="AG81" s="227" t="s">
        <v>3</v>
      </c>
      <c r="AH81" s="227"/>
      <c r="AI81" s="227"/>
      <c r="AJ81" s="227"/>
      <c r="AK81" s="227"/>
      <c r="AL81" s="227"/>
      <c r="AM81" s="14"/>
      <c r="AN81" s="14"/>
      <c r="AO81" s="227" t="s">
        <v>4</v>
      </c>
      <c r="AP81" s="227"/>
      <c r="AQ81" s="227"/>
      <c r="AR81" s="227"/>
      <c r="AS81" s="227"/>
      <c r="AT81" s="227"/>
    </row>
    <row r="82" spans="1:75" ht="12" customHeight="1" outlineLevel="1" x14ac:dyDescent="0.35">
      <c r="Y82" s="228"/>
      <c r="Z82" s="228"/>
      <c r="AA82" s="228"/>
      <c r="AB82" s="228"/>
      <c r="AC82" s="228"/>
      <c r="AD82" s="228"/>
      <c r="AE82" s="15"/>
      <c r="AF82" s="15"/>
      <c r="AG82" s="228"/>
      <c r="AH82" s="228"/>
      <c r="AI82" s="228"/>
      <c r="AJ82" s="228"/>
      <c r="AK82" s="228"/>
      <c r="AL82" s="228"/>
      <c r="AM82" s="15"/>
      <c r="AN82" s="15"/>
      <c r="AO82" s="228"/>
      <c r="AP82" s="228"/>
      <c r="AQ82" s="228"/>
      <c r="AR82" s="228"/>
      <c r="AS82" s="228"/>
      <c r="AT82" s="228"/>
    </row>
    <row r="83" spans="1:75" ht="12" customHeight="1" outlineLevel="1" x14ac:dyDescent="0.35">
      <c r="C83" s="219" t="s">
        <v>753</v>
      </c>
      <c r="D83" s="219"/>
      <c r="E83" s="219"/>
      <c r="F83" s="219"/>
      <c r="G83" s="219"/>
      <c r="H83" s="219"/>
      <c r="I83" s="219"/>
      <c r="J83" s="219"/>
      <c r="K83" s="219"/>
      <c r="L83" s="219"/>
      <c r="M83" s="219"/>
      <c r="N83" s="219"/>
      <c r="O83" s="219"/>
      <c r="P83" s="219"/>
      <c r="Q83" s="219"/>
      <c r="R83" s="219"/>
      <c r="S83" s="219"/>
      <c r="T83" s="219"/>
      <c r="U83" s="219"/>
      <c r="V83" s="219"/>
      <c r="W83" s="10"/>
      <c r="X83" s="10"/>
      <c r="Y83" s="221">
        <f>VLOOKUP('State Detail'!BM$7,RawData[[#All],[State]:[Opportunity to leverage existing policies and initiatives]],30,FALSE)</f>
        <v>0.75</v>
      </c>
      <c r="Z83" s="221"/>
      <c r="AA83" s="221"/>
      <c r="AB83" s="221"/>
      <c r="AC83" s="221"/>
      <c r="AD83" s="221"/>
      <c r="AE83" s="202"/>
      <c r="AF83" s="202"/>
      <c r="AG83" s="221">
        <f>'Raw Data'!AD$53</f>
        <v>0.73120200000000002</v>
      </c>
      <c r="AH83" s="221"/>
      <c r="AI83" s="221"/>
      <c r="AJ83" s="221"/>
      <c r="AK83" s="221"/>
      <c r="AL83" s="221"/>
      <c r="AM83" s="9"/>
      <c r="AN83" s="9"/>
      <c r="AO83" s="214">
        <f>VLOOKUP('State Detail'!BM$7,'Int Data - Case 1'!A1:W55,19,FALSE)</f>
        <v>21</v>
      </c>
      <c r="AP83" s="214"/>
      <c r="AQ83" s="214"/>
      <c r="AR83" s="214"/>
      <c r="AS83" s="214"/>
      <c r="AT83" s="214"/>
    </row>
    <row r="84" spans="1:75" ht="12" customHeight="1" outlineLevel="1" x14ac:dyDescent="0.35">
      <c r="C84" s="219"/>
      <c r="D84" s="219"/>
      <c r="E84" s="219"/>
      <c r="F84" s="219"/>
      <c r="G84" s="219"/>
      <c r="H84" s="219"/>
      <c r="I84" s="219"/>
      <c r="J84" s="219"/>
      <c r="K84" s="219"/>
      <c r="L84" s="219"/>
      <c r="M84" s="219"/>
      <c r="N84" s="219"/>
      <c r="O84" s="219"/>
      <c r="P84" s="219"/>
      <c r="Q84" s="219"/>
      <c r="R84" s="219"/>
      <c r="S84" s="219"/>
      <c r="T84" s="219"/>
      <c r="U84" s="219"/>
      <c r="V84" s="219"/>
      <c r="W84" s="10"/>
      <c r="X84" s="10"/>
      <c r="Y84" s="221"/>
      <c r="Z84" s="221"/>
      <c r="AA84" s="221"/>
      <c r="AB84" s="221"/>
      <c r="AC84" s="221"/>
      <c r="AD84" s="221"/>
      <c r="AE84" s="202"/>
      <c r="AF84" s="202"/>
      <c r="AG84" s="221"/>
      <c r="AH84" s="221"/>
      <c r="AI84" s="221"/>
      <c r="AJ84" s="221"/>
      <c r="AK84" s="221"/>
      <c r="AL84" s="221"/>
      <c r="AM84" s="9"/>
      <c r="AN84" s="9"/>
      <c r="AO84" s="214"/>
      <c r="AP84" s="214"/>
      <c r="AQ84" s="214"/>
      <c r="AR84" s="214"/>
      <c r="AS84" s="214"/>
      <c r="AT84" s="214"/>
    </row>
    <row r="85" spans="1:75" ht="12" customHeight="1" outlineLevel="1" x14ac:dyDescent="0.35">
      <c r="J85" s="2"/>
      <c r="K85" s="2"/>
      <c r="L85" s="2"/>
      <c r="Y85" s="2"/>
      <c r="Z85" s="2"/>
      <c r="AA85" s="2"/>
      <c r="AB85" s="2"/>
      <c r="AC85" s="2"/>
      <c r="AD85" s="2"/>
      <c r="AE85" s="2"/>
      <c r="AF85" s="2"/>
      <c r="AG85" s="2"/>
      <c r="AH85" s="2"/>
      <c r="AI85" s="2"/>
      <c r="AJ85" s="2"/>
      <c r="AK85" s="2"/>
      <c r="AL85" s="2"/>
      <c r="AM85" s="8"/>
      <c r="AN85" s="8"/>
      <c r="AO85" s="8"/>
      <c r="AP85" s="8"/>
      <c r="AQ85" s="8"/>
    </row>
    <row r="86" spans="1:75" ht="12" customHeight="1" outlineLevel="1" x14ac:dyDescent="0.35">
      <c r="J86" s="2"/>
      <c r="K86" s="2"/>
      <c r="L86" s="2"/>
      <c r="Y86" s="2"/>
      <c r="Z86" s="2"/>
      <c r="AA86" s="2"/>
      <c r="AB86" s="2"/>
      <c r="AC86" s="2"/>
      <c r="AD86" s="2"/>
      <c r="AE86" s="2"/>
      <c r="AF86" s="2"/>
      <c r="AG86" s="2"/>
      <c r="AH86" s="2"/>
      <c r="AI86" s="2"/>
      <c r="AJ86" s="2"/>
      <c r="AK86" s="2"/>
      <c r="AL86" s="2"/>
      <c r="AM86" s="8"/>
      <c r="AN86" s="8"/>
      <c r="AO86" s="8"/>
      <c r="AP86" s="8"/>
      <c r="AQ86" s="8"/>
    </row>
    <row r="87" spans="1:75" ht="12" customHeight="1" outlineLevel="1" x14ac:dyDescent="0.35">
      <c r="C87" s="219" t="s">
        <v>754</v>
      </c>
      <c r="D87" s="219"/>
      <c r="E87" s="219"/>
      <c r="F87" s="219"/>
      <c r="G87" s="219"/>
      <c r="H87" s="219"/>
      <c r="I87" s="219"/>
      <c r="J87" s="219"/>
      <c r="K87" s="219"/>
      <c r="L87" s="219"/>
      <c r="M87" s="219"/>
      <c r="N87" s="219"/>
      <c r="O87" s="219"/>
      <c r="P87" s="219"/>
      <c r="Q87" s="219"/>
      <c r="R87" s="219"/>
      <c r="S87" s="219"/>
      <c r="T87" s="219"/>
      <c r="U87" s="219"/>
      <c r="V87" s="219"/>
      <c r="W87" s="10"/>
      <c r="X87" s="10"/>
      <c r="Y87" s="221">
        <f>VLOOKUP('State Detail'!BM$7,RawData[[#All],[State]:[Opportunity to leverage existing policies and initiatives]],31,FALSE)</f>
        <v>0.28499999999999998</v>
      </c>
      <c r="Z87" s="221"/>
      <c r="AA87" s="221"/>
      <c r="AB87" s="221"/>
      <c r="AC87" s="221"/>
      <c r="AD87" s="221"/>
      <c r="AE87" s="202"/>
      <c r="AF87" s="202"/>
      <c r="AG87" s="221">
        <f>'Raw Data'!AE$53</f>
        <v>0.35231999999999991</v>
      </c>
      <c r="AH87" s="221"/>
      <c r="AI87" s="221"/>
      <c r="AJ87" s="221"/>
      <c r="AK87" s="221"/>
      <c r="AL87" s="221"/>
      <c r="AM87" s="9"/>
      <c r="AN87" s="9"/>
      <c r="AO87" s="214">
        <f>VLOOKUP('State Detail'!BM$7,'Int Data - Case 1'!A1:W55,20,FALSE)</f>
        <v>7.5</v>
      </c>
      <c r="AP87" s="214"/>
      <c r="AQ87" s="214"/>
      <c r="AR87" s="214"/>
      <c r="AS87" s="214"/>
      <c r="AT87" s="214"/>
    </row>
    <row r="88" spans="1:75" ht="12" customHeight="1" outlineLevel="1" x14ac:dyDescent="0.35">
      <c r="C88" s="219"/>
      <c r="D88" s="219"/>
      <c r="E88" s="219"/>
      <c r="F88" s="219"/>
      <c r="G88" s="219"/>
      <c r="H88" s="219"/>
      <c r="I88" s="219"/>
      <c r="J88" s="219"/>
      <c r="K88" s="219"/>
      <c r="L88" s="219"/>
      <c r="M88" s="219"/>
      <c r="N88" s="219"/>
      <c r="O88" s="219"/>
      <c r="P88" s="219"/>
      <c r="Q88" s="219"/>
      <c r="R88" s="219"/>
      <c r="S88" s="219"/>
      <c r="T88" s="219"/>
      <c r="U88" s="219"/>
      <c r="V88" s="219"/>
      <c r="W88" s="10"/>
      <c r="X88" s="10"/>
      <c r="Y88" s="221"/>
      <c r="Z88" s="221"/>
      <c r="AA88" s="221"/>
      <c r="AB88" s="221"/>
      <c r="AC88" s="221"/>
      <c r="AD88" s="221"/>
      <c r="AE88" s="202"/>
      <c r="AF88" s="202"/>
      <c r="AG88" s="221"/>
      <c r="AH88" s="221"/>
      <c r="AI88" s="221"/>
      <c r="AJ88" s="221"/>
      <c r="AK88" s="221"/>
      <c r="AL88" s="221"/>
      <c r="AM88" s="9"/>
      <c r="AN88" s="9"/>
      <c r="AO88" s="214"/>
      <c r="AP88" s="214"/>
      <c r="AQ88" s="214"/>
      <c r="AR88" s="214"/>
      <c r="AS88" s="214"/>
      <c r="AT88" s="214"/>
    </row>
    <row r="89" spans="1:75" ht="12" customHeight="1" outlineLevel="1" x14ac:dyDescent="0.35">
      <c r="J89" s="2"/>
      <c r="K89" s="2"/>
      <c r="L89" s="2"/>
      <c r="Z89" s="8"/>
      <c r="AA89" s="8"/>
      <c r="AB89" s="8"/>
      <c r="AC89" s="8"/>
      <c r="AD89" s="8"/>
      <c r="AE89" s="8"/>
      <c r="AF89" s="8"/>
      <c r="AG89" s="8"/>
      <c r="AH89" s="8"/>
      <c r="AI89" s="8"/>
      <c r="AJ89" s="8"/>
      <c r="AK89" s="8"/>
      <c r="AL89" s="8"/>
      <c r="AM89" s="8"/>
      <c r="AN89" s="8"/>
      <c r="AO89" s="8"/>
      <c r="AP89" s="8"/>
      <c r="AQ89" s="8"/>
    </row>
    <row r="90" spans="1:75" ht="12" customHeight="1" outlineLevel="1" x14ac:dyDescent="0.35">
      <c r="J90" s="2"/>
      <c r="K90" s="2"/>
      <c r="L90" s="2"/>
      <c r="Z90" s="8"/>
      <c r="AA90" s="8"/>
      <c r="AB90" s="8"/>
      <c r="AC90" s="8"/>
      <c r="AD90" s="8"/>
      <c r="AE90" s="8"/>
      <c r="AF90" s="8"/>
      <c r="AG90" s="8"/>
      <c r="AH90" s="8"/>
      <c r="AI90" s="8"/>
      <c r="AJ90" s="8"/>
      <c r="AK90" s="8"/>
      <c r="AL90" s="8"/>
      <c r="AM90" s="8"/>
      <c r="AN90" s="8"/>
      <c r="AO90" s="8"/>
      <c r="AP90" s="8"/>
      <c r="AQ90" s="8"/>
    </row>
    <row r="91" spans="1:75" ht="12" customHeight="1" outlineLevel="1" x14ac:dyDescent="0.35">
      <c r="C91" s="217" t="s">
        <v>755</v>
      </c>
      <c r="D91" s="217"/>
      <c r="E91" s="217"/>
      <c r="F91" s="217"/>
      <c r="G91" s="217"/>
      <c r="H91" s="217"/>
      <c r="I91" s="217"/>
      <c r="J91" s="217"/>
      <c r="K91" s="217"/>
      <c r="L91" s="217"/>
      <c r="M91" s="217"/>
      <c r="N91" s="217"/>
      <c r="O91" s="217"/>
      <c r="P91" s="217"/>
      <c r="Q91" s="217"/>
      <c r="R91" s="217"/>
      <c r="S91" s="217"/>
      <c r="T91" s="217"/>
      <c r="U91" s="217"/>
      <c r="V91" s="217"/>
      <c r="W91" s="10"/>
      <c r="X91" s="10"/>
      <c r="Y91" s="231">
        <f>VLOOKUP('State Detail'!BM$7,RawData[[#All],[State]:[Opportunity to leverage existing policies and initiatives]],32,FALSE)</f>
        <v>10.27</v>
      </c>
      <c r="Z91" s="231"/>
      <c r="AA91" s="231"/>
      <c r="AB91" s="231"/>
      <c r="AC91" s="231"/>
      <c r="AD91" s="231"/>
      <c r="AE91" s="9"/>
      <c r="AF91" s="9"/>
      <c r="AG91" s="231">
        <f>'Raw Data'!AF$53</f>
        <v>12.885799999999994</v>
      </c>
      <c r="AH91" s="214"/>
      <c r="AI91" s="214"/>
      <c r="AJ91" s="214"/>
      <c r="AK91" s="214"/>
      <c r="AL91" s="214"/>
      <c r="AM91" s="9"/>
      <c r="AN91" s="9"/>
      <c r="AO91" s="214">
        <f>VLOOKUP('State Detail'!BM$7,'Int Data - Case 1'!A1:W55,21,FALSE)</f>
        <v>41</v>
      </c>
      <c r="AP91" s="214"/>
      <c r="AQ91" s="214"/>
      <c r="AR91" s="214"/>
      <c r="AS91" s="214"/>
      <c r="AT91" s="214"/>
    </row>
    <row r="92" spans="1:75" ht="12" customHeight="1" outlineLevel="1" x14ac:dyDescent="0.35">
      <c r="C92" s="217"/>
      <c r="D92" s="217"/>
      <c r="E92" s="217"/>
      <c r="F92" s="217"/>
      <c r="G92" s="217"/>
      <c r="H92" s="217"/>
      <c r="I92" s="217"/>
      <c r="J92" s="217"/>
      <c r="K92" s="217"/>
      <c r="L92" s="217"/>
      <c r="M92" s="217"/>
      <c r="N92" s="217"/>
      <c r="O92" s="217"/>
      <c r="P92" s="217"/>
      <c r="Q92" s="217"/>
      <c r="R92" s="217"/>
      <c r="S92" s="217"/>
      <c r="T92" s="217"/>
      <c r="U92" s="217"/>
      <c r="V92" s="217"/>
      <c r="W92" s="10"/>
      <c r="X92" s="10"/>
      <c r="Y92" s="231"/>
      <c r="Z92" s="231"/>
      <c r="AA92" s="231"/>
      <c r="AB92" s="231"/>
      <c r="AC92" s="231"/>
      <c r="AD92" s="231"/>
      <c r="AE92" s="9"/>
      <c r="AF92" s="9"/>
      <c r="AG92" s="214"/>
      <c r="AH92" s="214"/>
      <c r="AI92" s="214"/>
      <c r="AJ92" s="214"/>
      <c r="AK92" s="214"/>
      <c r="AL92" s="214"/>
      <c r="AM92" s="9"/>
      <c r="AN92" s="9"/>
      <c r="AO92" s="214"/>
      <c r="AP92" s="214"/>
      <c r="AQ92" s="214"/>
      <c r="AR92" s="214"/>
      <c r="AS92" s="214"/>
      <c r="AT92" s="214"/>
    </row>
    <row r="93" spans="1:75" ht="12" customHeight="1" outlineLevel="1" x14ac:dyDescent="0.35">
      <c r="J93" s="2"/>
      <c r="K93" s="2"/>
      <c r="L93" s="2"/>
      <c r="Z93" s="8"/>
      <c r="AA93" s="8"/>
      <c r="AB93" s="8"/>
      <c r="AC93" s="8"/>
      <c r="AD93" s="8"/>
      <c r="AE93" s="8"/>
      <c r="AF93" s="8"/>
      <c r="AG93" s="8"/>
      <c r="AH93" s="8"/>
      <c r="AI93" s="8"/>
      <c r="AJ93" s="8"/>
      <c r="AK93" s="8"/>
      <c r="AL93" s="8"/>
      <c r="AM93" s="8"/>
      <c r="AN93" s="8"/>
      <c r="AO93" s="8"/>
      <c r="AP93" s="8"/>
      <c r="AQ93" s="8"/>
    </row>
    <row r="94" spans="1:75" ht="12" customHeight="1" x14ac:dyDescent="0.35">
      <c r="Z94" s="8"/>
      <c r="AA94" s="8"/>
      <c r="AB94" s="8"/>
      <c r="AC94" s="8"/>
      <c r="AD94" s="8"/>
      <c r="AE94" s="8"/>
      <c r="AF94" s="8"/>
      <c r="AG94" s="8"/>
      <c r="AH94" s="8"/>
      <c r="AI94" s="8"/>
      <c r="AJ94" s="8"/>
      <c r="AK94" s="8"/>
      <c r="AL94" s="8"/>
      <c r="AM94" s="8"/>
      <c r="AN94" s="8"/>
      <c r="AO94" s="8"/>
      <c r="AP94" s="8"/>
      <c r="AQ94" s="8"/>
    </row>
    <row r="95" spans="1:75" ht="12" customHeight="1" x14ac:dyDescent="0.35">
      <c r="A95" s="235" t="s">
        <v>16</v>
      </c>
      <c r="B95" s="235"/>
      <c r="C95" s="235"/>
      <c r="D95" s="235"/>
      <c r="E95" s="235"/>
      <c r="F95" s="235"/>
      <c r="G95" s="235"/>
      <c r="H95" s="235"/>
      <c r="I95" s="235"/>
      <c r="J95" s="235"/>
      <c r="K95" s="235"/>
      <c r="L95" s="235"/>
      <c r="M95" s="235"/>
      <c r="N95" s="235"/>
      <c r="O95" s="235"/>
      <c r="P95" s="235"/>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5"/>
      <c r="BA95" s="235"/>
      <c r="BB95" s="235"/>
      <c r="BC95" s="235"/>
      <c r="BD95" s="235"/>
      <c r="BE95" s="235"/>
      <c r="BF95" s="235"/>
      <c r="BG95" s="235"/>
      <c r="BH95" s="235"/>
      <c r="BI95" s="235"/>
      <c r="BJ95" s="235"/>
      <c r="BK95" s="235"/>
      <c r="BL95" s="235"/>
      <c r="BM95" s="235"/>
      <c r="BN95" s="235"/>
      <c r="BO95" s="235"/>
      <c r="BP95" s="235"/>
      <c r="BQ95" s="235"/>
      <c r="BR95" s="235"/>
      <c r="BS95" s="235"/>
      <c r="BT95" s="235"/>
      <c r="BU95" s="235"/>
      <c r="BV95" s="235"/>
      <c r="BW95" s="235"/>
    </row>
    <row r="96" spans="1:75" ht="12" customHeight="1" x14ac:dyDescent="0.35">
      <c r="A96" s="235"/>
      <c r="B96" s="235"/>
      <c r="C96" s="235"/>
      <c r="D96" s="235"/>
      <c r="E96" s="235"/>
      <c r="F96" s="235"/>
      <c r="G96" s="235"/>
      <c r="H96" s="235"/>
      <c r="I96" s="235"/>
      <c r="J96" s="235"/>
      <c r="K96" s="235"/>
      <c r="L96" s="235"/>
      <c r="M96" s="235"/>
      <c r="N96" s="235"/>
      <c r="O96" s="235"/>
      <c r="P96" s="235"/>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5"/>
      <c r="BA96" s="235"/>
      <c r="BB96" s="235"/>
      <c r="BC96" s="235"/>
      <c r="BD96" s="235"/>
      <c r="BE96" s="235"/>
      <c r="BF96" s="235"/>
      <c r="BG96" s="235"/>
      <c r="BH96" s="235"/>
      <c r="BI96" s="235"/>
      <c r="BJ96" s="235"/>
      <c r="BK96" s="235"/>
      <c r="BL96" s="235"/>
      <c r="BM96" s="235"/>
      <c r="BN96" s="235"/>
      <c r="BO96" s="235"/>
      <c r="BP96" s="235"/>
      <c r="BQ96" s="235"/>
      <c r="BR96" s="235"/>
      <c r="BS96" s="235"/>
      <c r="BT96" s="235"/>
      <c r="BU96" s="235"/>
      <c r="BV96" s="235"/>
      <c r="BW96" s="235"/>
    </row>
    <row r="97" spans="1:78" ht="12" customHeight="1" outlineLevel="1" x14ac:dyDescent="0.35"/>
    <row r="98" spans="1:78" ht="12" customHeight="1" outlineLevel="2" x14ac:dyDescent="0.35">
      <c r="A98" s="225" t="s">
        <v>7</v>
      </c>
      <c r="B98" s="225"/>
      <c r="C98" s="225"/>
      <c r="D98" s="225"/>
      <c r="E98" s="225"/>
      <c r="F98" s="225"/>
      <c r="G98" s="225"/>
      <c r="H98" s="225"/>
      <c r="I98" s="225"/>
      <c r="J98" s="225"/>
      <c r="K98" s="225"/>
      <c r="L98" s="225"/>
      <c r="M98" s="225"/>
      <c r="N98" s="225"/>
      <c r="O98" s="225"/>
      <c r="P98" s="225"/>
      <c r="Q98" s="225"/>
      <c r="R98" s="225"/>
      <c r="S98" s="225"/>
      <c r="T98" s="225"/>
      <c r="U98" s="225"/>
      <c r="V98" s="225"/>
      <c r="W98" s="225"/>
      <c r="X98" s="225"/>
      <c r="Y98" s="225"/>
      <c r="Z98" s="6"/>
      <c r="AA98" s="6"/>
      <c r="AB98" s="6"/>
      <c r="AC98" s="6"/>
      <c r="AD98" s="6"/>
      <c r="AE98" s="6"/>
      <c r="AF98" s="6"/>
      <c r="AG98" s="6"/>
      <c r="AH98" s="6"/>
      <c r="AI98" s="6"/>
      <c r="AJ98" s="226" t="s">
        <v>5</v>
      </c>
      <c r="AK98" s="226"/>
      <c r="AL98" s="226"/>
      <c r="AM98" s="226"/>
      <c r="AN98" s="226"/>
      <c r="AO98" s="226"/>
      <c r="AP98" s="226"/>
      <c r="AQ98" s="226"/>
      <c r="AR98" s="226"/>
      <c r="AS98" s="226"/>
      <c r="AT98" s="232">
        <f>VLOOKUP('State Detail'!BM$7,'Int Data - Case 2'!A1:W55,15,FALSE)</f>
        <v>26</v>
      </c>
      <c r="AU98" s="232"/>
    </row>
    <row r="99" spans="1:78" ht="12" customHeight="1" outlineLevel="2" x14ac:dyDescent="0.35">
      <c r="A99" s="225"/>
      <c r="B99" s="225"/>
      <c r="C99" s="225"/>
      <c r="D99" s="225"/>
      <c r="E99" s="225"/>
      <c r="F99" s="225"/>
      <c r="G99" s="225"/>
      <c r="H99" s="225"/>
      <c r="I99" s="225"/>
      <c r="J99" s="225"/>
      <c r="K99" s="225"/>
      <c r="L99" s="225"/>
      <c r="M99" s="225"/>
      <c r="N99" s="225"/>
      <c r="O99" s="225"/>
      <c r="P99" s="225"/>
      <c r="Q99" s="225"/>
      <c r="R99" s="225"/>
      <c r="S99" s="225"/>
      <c r="T99" s="225"/>
      <c r="U99" s="225"/>
      <c r="V99" s="225"/>
      <c r="W99" s="225"/>
      <c r="X99" s="225"/>
      <c r="Y99" s="225"/>
      <c r="Z99" s="6"/>
      <c r="AA99" s="6"/>
      <c r="AB99" s="6"/>
      <c r="AC99" s="6"/>
      <c r="AD99" s="6"/>
      <c r="AE99" s="6"/>
      <c r="AF99" s="6"/>
      <c r="AG99" s="6"/>
      <c r="AH99" s="6"/>
      <c r="AI99" s="6"/>
      <c r="AJ99" s="226"/>
      <c r="AK99" s="226"/>
      <c r="AL99" s="226"/>
      <c r="AM99" s="226"/>
      <c r="AN99" s="226"/>
      <c r="AO99" s="226"/>
      <c r="AP99" s="226"/>
      <c r="AQ99" s="226"/>
      <c r="AR99" s="226"/>
      <c r="AS99" s="226"/>
      <c r="AT99" s="232"/>
      <c r="AU99" s="232"/>
    </row>
    <row r="100" spans="1:78" ht="12" customHeight="1" outlineLevel="2" x14ac:dyDescent="0.35">
      <c r="A100" s="5"/>
      <c r="B100" s="5"/>
      <c r="C100" s="5"/>
      <c r="D100" s="5"/>
      <c r="E100" s="5"/>
      <c r="F100" s="5"/>
      <c r="G100" s="5"/>
      <c r="H100" s="5"/>
      <c r="I100" s="5"/>
      <c r="J100" s="5"/>
      <c r="K100" s="5"/>
      <c r="L100" s="5"/>
      <c r="M100" s="5"/>
      <c r="N100" s="5"/>
      <c r="O100" s="5"/>
      <c r="P100" s="5"/>
      <c r="Q100" s="5"/>
      <c r="R100" s="5"/>
      <c r="S100" s="5"/>
      <c r="T100" s="5"/>
      <c r="U100" s="5"/>
      <c r="V100" s="5"/>
      <c r="AJ100" s="13"/>
      <c r="AK100" s="13"/>
      <c r="AL100" s="13"/>
      <c r="AM100" s="13"/>
      <c r="AN100" s="13"/>
      <c r="AO100" s="13"/>
      <c r="AP100" s="13"/>
      <c r="AQ100" s="13"/>
      <c r="AR100" s="13"/>
      <c r="AS100" s="13"/>
      <c r="AT100" s="3"/>
      <c r="AU100" s="3"/>
    </row>
    <row r="101" spans="1:78" ht="12" customHeight="1" outlineLevel="2" x14ac:dyDescent="0.35">
      <c r="A101" s="5"/>
      <c r="B101" s="5"/>
      <c r="C101" s="5"/>
      <c r="D101" s="5"/>
      <c r="E101" s="5"/>
      <c r="F101" s="5"/>
      <c r="G101" s="5"/>
      <c r="H101" s="5"/>
      <c r="I101" s="5"/>
      <c r="J101" s="5"/>
      <c r="K101" s="5"/>
      <c r="L101" s="5"/>
      <c r="M101" s="5"/>
      <c r="N101" s="5"/>
      <c r="O101" s="5"/>
      <c r="P101" s="5"/>
      <c r="Q101" s="5"/>
      <c r="R101" s="5"/>
      <c r="S101" s="5"/>
      <c r="T101" s="5"/>
      <c r="U101" s="5"/>
      <c r="V101" s="5"/>
      <c r="Y101" s="227" t="str">
        <f>BM$7</f>
        <v>Kentucky</v>
      </c>
      <c r="Z101" s="227"/>
      <c r="AA101" s="227"/>
      <c r="AB101" s="227"/>
      <c r="AC101" s="227"/>
      <c r="AD101" s="227"/>
      <c r="AE101" s="14"/>
      <c r="AF101" s="14"/>
      <c r="AG101" s="227" t="s">
        <v>3</v>
      </c>
      <c r="AH101" s="227"/>
      <c r="AI101" s="227"/>
      <c r="AJ101" s="227"/>
      <c r="AK101" s="227"/>
      <c r="AL101" s="227"/>
      <c r="AM101" s="14"/>
      <c r="AN101" s="14"/>
      <c r="AO101" s="227" t="s">
        <v>4</v>
      </c>
      <c r="AP101" s="227"/>
      <c r="AQ101" s="227"/>
      <c r="AR101" s="227"/>
      <c r="AS101" s="227"/>
      <c r="AT101" s="227"/>
    </row>
    <row r="102" spans="1:78" ht="12.75" customHeight="1" outlineLevel="2" x14ac:dyDescent="0.35">
      <c r="Y102" s="228"/>
      <c r="Z102" s="228"/>
      <c r="AA102" s="228"/>
      <c r="AB102" s="228"/>
      <c r="AC102" s="228"/>
      <c r="AD102" s="228"/>
      <c r="AE102" s="15"/>
      <c r="AF102" s="15"/>
      <c r="AG102" s="228"/>
      <c r="AH102" s="228"/>
      <c r="AI102" s="228"/>
      <c r="AJ102" s="228"/>
      <c r="AK102" s="228"/>
      <c r="AL102" s="228"/>
      <c r="AM102" s="15"/>
      <c r="AN102" s="15"/>
      <c r="AO102" s="228"/>
      <c r="AP102" s="228"/>
      <c r="AQ102" s="228"/>
      <c r="AR102" s="228"/>
      <c r="AS102" s="228"/>
      <c r="AT102" s="228"/>
    </row>
    <row r="103" spans="1:78" ht="12" customHeight="1" outlineLevel="2" x14ac:dyDescent="0.35">
      <c r="C103" s="219" t="s">
        <v>756</v>
      </c>
      <c r="D103" s="219"/>
      <c r="E103" s="219"/>
      <c r="F103" s="219"/>
      <c r="G103" s="219"/>
      <c r="H103" s="219"/>
      <c r="I103" s="219"/>
      <c r="J103" s="219"/>
      <c r="K103" s="219"/>
      <c r="L103" s="219"/>
      <c r="M103" s="219"/>
      <c r="N103" s="219"/>
      <c r="O103" s="219"/>
      <c r="P103" s="219"/>
      <c r="Q103" s="219"/>
      <c r="R103" s="219"/>
      <c r="S103" s="219"/>
      <c r="T103" s="219"/>
      <c r="U103" s="219"/>
      <c r="V103" s="219"/>
      <c r="W103" s="10"/>
      <c r="X103" s="10"/>
      <c r="Y103" s="234">
        <f>VLOOKUP('State Detail'!BM$7,RawData[[#All],[State]:[Support Per $1,000 in Personal Income 2022]],20,FALSE)</f>
        <v>5.72</v>
      </c>
      <c r="Z103" s="234"/>
      <c r="AA103" s="234"/>
      <c r="AB103" s="234"/>
      <c r="AC103" s="234"/>
      <c r="AD103" s="234"/>
      <c r="AE103" s="9"/>
      <c r="AF103" s="9"/>
      <c r="AG103" s="234">
        <f>'Raw Data'!T53</f>
        <v>5.6710000000000012</v>
      </c>
      <c r="AH103" s="234"/>
      <c r="AI103" s="234"/>
      <c r="AJ103" s="234"/>
      <c r="AK103" s="234"/>
      <c r="AL103" s="234"/>
      <c r="AM103" s="9"/>
      <c r="AN103" s="9"/>
      <c r="AO103" s="214">
        <f>VLOOKUP('State Detail'!BM$7,'Int Data - Case 2'!A1:W55,11,FALSE)</f>
        <v>21</v>
      </c>
      <c r="AP103" s="214"/>
      <c r="AQ103" s="214"/>
      <c r="AR103" s="214"/>
      <c r="AS103" s="214"/>
      <c r="AT103" s="214"/>
    </row>
    <row r="104" spans="1:78" ht="12" customHeight="1" outlineLevel="2" x14ac:dyDescent="0.35">
      <c r="C104" s="219"/>
      <c r="D104" s="219"/>
      <c r="E104" s="219"/>
      <c r="F104" s="219"/>
      <c r="G104" s="219"/>
      <c r="H104" s="219"/>
      <c r="I104" s="219"/>
      <c r="J104" s="219"/>
      <c r="K104" s="219"/>
      <c r="L104" s="219"/>
      <c r="M104" s="219"/>
      <c r="N104" s="219"/>
      <c r="O104" s="219"/>
      <c r="P104" s="219"/>
      <c r="Q104" s="219"/>
      <c r="R104" s="219"/>
      <c r="S104" s="219"/>
      <c r="T104" s="219"/>
      <c r="U104" s="219"/>
      <c r="V104" s="219"/>
      <c r="W104" s="10"/>
      <c r="X104" s="10"/>
      <c r="Y104" s="234"/>
      <c r="Z104" s="234"/>
      <c r="AA104" s="234"/>
      <c r="AB104" s="234"/>
      <c r="AC104" s="234"/>
      <c r="AD104" s="234"/>
      <c r="AE104" s="9"/>
      <c r="AF104" s="9"/>
      <c r="AG104" s="234"/>
      <c r="AH104" s="234"/>
      <c r="AI104" s="234"/>
      <c r="AJ104" s="234"/>
      <c r="AK104" s="234"/>
      <c r="AL104" s="234"/>
      <c r="AM104" s="9"/>
      <c r="AN104" s="9"/>
      <c r="AO104" s="214"/>
      <c r="AP104" s="214"/>
      <c r="AQ104" s="214"/>
      <c r="AR104" s="214"/>
      <c r="AS104" s="214"/>
      <c r="AT104" s="214"/>
    </row>
    <row r="105" spans="1:78" ht="12" customHeight="1" outlineLevel="2" x14ac:dyDescent="0.35">
      <c r="C105" s="4"/>
      <c r="D105" s="4"/>
      <c r="E105" s="4"/>
      <c r="F105" s="4"/>
      <c r="G105" s="4"/>
      <c r="H105" s="4"/>
      <c r="I105" s="4"/>
      <c r="J105" s="4"/>
      <c r="K105" s="4"/>
      <c r="L105" s="4"/>
      <c r="M105" s="4"/>
      <c r="N105" s="4"/>
      <c r="O105" s="4"/>
      <c r="P105" s="4"/>
      <c r="Q105" s="4"/>
      <c r="R105" s="4"/>
      <c r="S105" s="4"/>
      <c r="T105" s="4"/>
      <c r="U105" s="4"/>
      <c r="V105" s="4"/>
      <c r="Z105" s="8"/>
      <c r="AA105" s="8"/>
      <c r="AB105" s="8"/>
      <c r="AC105" s="8"/>
      <c r="AD105" s="8"/>
      <c r="AE105" s="8"/>
      <c r="AF105" s="8"/>
      <c r="AG105" s="8"/>
      <c r="AH105" s="8"/>
      <c r="AI105" s="8"/>
      <c r="AJ105" s="8"/>
      <c r="AK105" s="8"/>
      <c r="AL105" s="8"/>
      <c r="AM105" s="8"/>
      <c r="AN105" s="8"/>
      <c r="AO105" s="8"/>
      <c r="AP105" s="8"/>
      <c r="AQ105" s="8"/>
    </row>
    <row r="106" spans="1:78" ht="12" customHeight="1" outlineLevel="2" x14ac:dyDescent="0.35">
      <c r="Z106" s="8"/>
      <c r="AA106" s="8"/>
      <c r="AB106" s="8"/>
      <c r="AC106" s="8"/>
      <c r="AD106" s="8"/>
      <c r="AE106" s="8"/>
      <c r="AF106" s="8"/>
      <c r="AG106" s="8"/>
      <c r="AH106" s="8"/>
      <c r="AI106" s="8"/>
      <c r="AJ106" s="8"/>
      <c r="AK106" s="8"/>
      <c r="AL106" s="8"/>
      <c r="AM106" s="8"/>
      <c r="AN106" s="8"/>
      <c r="AO106" s="8"/>
      <c r="AP106" s="8"/>
      <c r="AQ106" s="8"/>
    </row>
    <row r="107" spans="1:78" ht="12" customHeight="1" outlineLevel="2" x14ac:dyDescent="0.35">
      <c r="C107" s="219" t="s">
        <v>757</v>
      </c>
      <c r="D107" s="219"/>
      <c r="E107" s="219"/>
      <c r="F107" s="219"/>
      <c r="G107" s="219"/>
      <c r="H107" s="219"/>
      <c r="I107" s="219"/>
      <c r="J107" s="219"/>
      <c r="K107" s="219"/>
      <c r="L107" s="219"/>
      <c r="M107" s="219"/>
      <c r="N107" s="219"/>
      <c r="O107" s="219"/>
      <c r="P107" s="219"/>
      <c r="Q107" s="219"/>
      <c r="R107" s="219"/>
      <c r="S107" s="219"/>
      <c r="T107" s="219"/>
      <c r="U107" s="219"/>
      <c r="V107" s="219"/>
      <c r="W107" s="10"/>
      <c r="X107" s="10"/>
      <c r="Y107" s="220">
        <f>VLOOKUP('State Detail'!BM$7,RawData[[#All],[State]:[Support Per $1,000 in Personal Income 2022]],19,FALSE)</f>
        <v>10673.714630779848</v>
      </c>
      <c r="Z107" s="220"/>
      <c r="AA107" s="220"/>
      <c r="AB107" s="220"/>
      <c r="AC107" s="220"/>
      <c r="AD107" s="220"/>
      <c r="AE107" s="9"/>
      <c r="AF107" s="9"/>
      <c r="AG107" s="220">
        <f>'Raw Data'!S53</f>
        <v>12157.975027553497</v>
      </c>
      <c r="AH107" s="220"/>
      <c r="AI107" s="220"/>
      <c r="AJ107" s="220"/>
      <c r="AK107" s="220"/>
      <c r="AL107" s="220"/>
      <c r="AM107" s="9"/>
      <c r="AN107" s="9"/>
      <c r="AO107" s="214">
        <f>VLOOKUP('State Detail'!BM$7,'Int Data - Case 2'!A1:W55,10,FALSE)</f>
        <v>27</v>
      </c>
      <c r="AP107" s="214"/>
      <c r="AQ107" s="214"/>
      <c r="AR107" s="214"/>
      <c r="AS107" s="214"/>
      <c r="AT107" s="214"/>
    </row>
    <row r="108" spans="1:78" ht="12" customHeight="1" outlineLevel="2" x14ac:dyDescent="0.35">
      <c r="C108" s="219"/>
      <c r="D108" s="219"/>
      <c r="E108" s="219"/>
      <c r="F108" s="219"/>
      <c r="G108" s="219"/>
      <c r="H108" s="219"/>
      <c r="I108" s="219"/>
      <c r="J108" s="219"/>
      <c r="K108" s="219"/>
      <c r="L108" s="219"/>
      <c r="M108" s="219"/>
      <c r="N108" s="219"/>
      <c r="O108" s="219"/>
      <c r="P108" s="219"/>
      <c r="Q108" s="219"/>
      <c r="R108" s="219"/>
      <c r="S108" s="219"/>
      <c r="T108" s="219"/>
      <c r="U108" s="219"/>
      <c r="V108" s="219"/>
      <c r="W108" s="10"/>
      <c r="X108" s="10"/>
      <c r="Y108" s="220"/>
      <c r="Z108" s="220"/>
      <c r="AA108" s="220"/>
      <c r="AB108" s="220"/>
      <c r="AC108" s="220"/>
      <c r="AD108" s="220"/>
      <c r="AE108" s="9"/>
      <c r="AF108" s="9"/>
      <c r="AG108" s="220"/>
      <c r="AH108" s="220"/>
      <c r="AI108" s="220"/>
      <c r="AJ108" s="220"/>
      <c r="AK108" s="220"/>
      <c r="AL108" s="220"/>
      <c r="AM108" s="9"/>
      <c r="AN108" s="9"/>
      <c r="AO108" s="214"/>
      <c r="AP108" s="214"/>
      <c r="AQ108" s="214"/>
      <c r="AR108" s="214"/>
      <c r="AS108" s="214"/>
      <c r="AT108" s="214"/>
    </row>
    <row r="109" spans="1:78" ht="12" customHeight="1" outlineLevel="2" x14ac:dyDescent="0.35">
      <c r="Z109" s="8"/>
      <c r="AA109" s="8"/>
      <c r="AB109" s="8"/>
      <c r="AC109" s="8"/>
      <c r="AD109" s="8"/>
      <c r="AE109" s="8"/>
      <c r="AF109" s="8"/>
      <c r="AG109" s="8"/>
      <c r="AH109" s="8"/>
      <c r="AI109" s="8"/>
      <c r="AJ109" s="8"/>
      <c r="AK109" s="8"/>
      <c r="AL109" s="8"/>
      <c r="AM109" s="8"/>
      <c r="AN109" s="8"/>
      <c r="AO109" s="8"/>
      <c r="AP109" s="8"/>
      <c r="AQ109" s="8"/>
      <c r="BE109" s="11"/>
      <c r="BF109" s="7"/>
      <c r="BG109" s="7"/>
      <c r="BH109" s="7"/>
      <c r="BI109" s="7"/>
      <c r="BJ109" s="7"/>
      <c r="BK109" s="7"/>
      <c r="BL109" s="7"/>
      <c r="BM109" s="11"/>
      <c r="BN109" s="7"/>
      <c r="BO109" s="7"/>
      <c r="BP109" s="7"/>
      <c r="BQ109" s="7"/>
      <c r="BR109" s="7"/>
      <c r="BS109" s="7"/>
      <c r="BT109" s="7"/>
      <c r="BU109" s="7"/>
      <c r="BV109" s="7"/>
      <c r="BW109" s="7"/>
      <c r="BX109" s="7"/>
      <c r="BY109" s="7"/>
      <c r="BZ109" s="7"/>
    </row>
    <row r="110" spans="1:78" ht="12" customHeight="1" outlineLevel="2" x14ac:dyDescent="0.35">
      <c r="BE110" s="7"/>
      <c r="BF110" s="7"/>
      <c r="BG110" s="7"/>
      <c r="BH110" s="7"/>
      <c r="BI110" s="7"/>
      <c r="BJ110" s="7"/>
      <c r="BK110" s="7"/>
      <c r="BL110" s="7"/>
      <c r="BM110" s="7"/>
      <c r="BN110" s="7"/>
      <c r="BO110" s="7"/>
      <c r="BP110" s="7"/>
      <c r="BQ110" s="7"/>
      <c r="BR110" s="7"/>
      <c r="BS110" s="7"/>
      <c r="BT110" s="7"/>
      <c r="BU110" s="7"/>
      <c r="BV110" s="7"/>
      <c r="BW110" s="7"/>
      <c r="BX110" s="7"/>
      <c r="BY110" s="7"/>
      <c r="BZ110" s="7"/>
    </row>
    <row r="111" spans="1:78" ht="12" customHeight="1" outlineLevel="2" x14ac:dyDescent="0.35">
      <c r="A111" s="225" t="s">
        <v>8</v>
      </c>
      <c r="B111" s="225"/>
      <c r="C111" s="225"/>
      <c r="D111" s="225"/>
      <c r="E111" s="225"/>
      <c r="F111" s="225"/>
      <c r="G111" s="225"/>
      <c r="H111" s="225"/>
      <c r="I111" s="225"/>
      <c r="J111" s="225"/>
      <c r="K111" s="225"/>
      <c r="L111" s="225"/>
      <c r="M111" s="225"/>
      <c r="N111" s="225"/>
      <c r="O111" s="225"/>
      <c r="P111" s="225"/>
      <c r="Q111" s="225"/>
      <c r="R111" s="225"/>
      <c r="S111" s="225"/>
      <c r="T111" s="225"/>
      <c r="U111" s="225"/>
      <c r="V111" s="225"/>
      <c r="W111" s="225"/>
      <c r="X111" s="225"/>
      <c r="Y111" s="6"/>
      <c r="Z111" s="6"/>
      <c r="AA111" s="6"/>
      <c r="AB111" s="6"/>
      <c r="AC111" s="6"/>
      <c r="AD111" s="6"/>
      <c r="AE111" s="6"/>
      <c r="AF111" s="6"/>
      <c r="AG111" s="6"/>
      <c r="AH111" s="6"/>
      <c r="AI111" s="6"/>
      <c r="AJ111" s="226" t="s">
        <v>5</v>
      </c>
      <c r="AK111" s="226"/>
      <c r="AL111" s="226"/>
      <c r="AM111" s="226"/>
      <c r="AN111" s="226"/>
      <c r="AO111" s="226"/>
      <c r="AP111" s="226"/>
      <c r="AQ111" s="226"/>
      <c r="AR111" s="226"/>
      <c r="AS111" s="226"/>
      <c r="AT111" s="232">
        <f>VLOOKUP('State Detail'!BM$7,'Int Data - Case 2'!A1:W55,16,FALSE)</f>
        <v>30.5</v>
      </c>
      <c r="AU111" s="232"/>
      <c r="BF111" s="8"/>
      <c r="BG111" s="8"/>
      <c r="BH111" s="8"/>
      <c r="BI111" s="8"/>
      <c r="BJ111" s="8"/>
      <c r="BK111" s="8"/>
      <c r="BL111" s="8"/>
      <c r="BM111" s="8"/>
      <c r="BN111" s="8"/>
      <c r="BO111" s="8"/>
      <c r="BP111" s="8"/>
      <c r="BQ111" s="8"/>
      <c r="BR111" s="8"/>
      <c r="BS111" s="8"/>
      <c r="BT111" s="8"/>
      <c r="BU111" s="8"/>
      <c r="BV111" s="8"/>
      <c r="BW111" s="8"/>
    </row>
    <row r="112" spans="1:78" ht="12" customHeight="1" outlineLevel="2" x14ac:dyDescent="0.35">
      <c r="A112" s="225"/>
      <c r="B112" s="225"/>
      <c r="C112" s="225"/>
      <c r="D112" s="225"/>
      <c r="E112" s="225"/>
      <c r="F112" s="225"/>
      <c r="G112" s="225"/>
      <c r="H112" s="225"/>
      <c r="I112" s="225"/>
      <c r="J112" s="225"/>
      <c r="K112" s="225"/>
      <c r="L112" s="225"/>
      <c r="M112" s="225"/>
      <c r="N112" s="225"/>
      <c r="O112" s="225"/>
      <c r="P112" s="225"/>
      <c r="Q112" s="225"/>
      <c r="R112" s="225"/>
      <c r="S112" s="225"/>
      <c r="T112" s="225"/>
      <c r="U112" s="225"/>
      <c r="V112" s="225"/>
      <c r="W112" s="225"/>
      <c r="X112" s="225"/>
      <c r="Y112" s="6"/>
      <c r="Z112" s="6"/>
      <c r="AA112" s="6"/>
      <c r="AB112" s="6"/>
      <c r="AC112" s="6"/>
      <c r="AD112" s="6"/>
      <c r="AE112" s="6"/>
      <c r="AF112" s="6"/>
      <c r="AG112" s="6"/>
      <c r="AH112" s="6"/>
      <c r="AI112" s="6"/>
      <c r="AJ112" s="226"/>
      <c r="AK112" s="226"/>
      <c r="AL112" s="226"/>
      <c r="AM112" s="226"/>
      <c r="AN112" s="226"/>
      <c r="AO112" s="226"/>
      <c r="AP112" s="226"/>
      <c r="AQ112" s="226"/>
      <c r="AR112" s="226"/>
      <c r="AS112" s="226"/>
      <c r="AT112" s="232"/>
      <c r="AU112" s="232"/>
      <c r="BF112" s="8"/>
      <c r="BG112" s="8"/>
      <c r="BH112" s="8"/>
      <c r="BI112" s="8"/>
      <c r="BJ112" s="8"/>
      <c r="BK112" s="8"/>
      <c r="BL112" s="8"/>
      <c r="BM112" s="8"/>
      <c r="BN112" s="8"/>
      <c r="BO112" s="8"/>
      <c r="BP112" s="8"/>
      <c r="BQ112" s="8"/>
      <c r="BR112" s="8"/>
      <c r="BS112" s="8"/>
      <c r="BT112" s="8"/>
      <c r="BU112" s="8"/>
      <c r="BV112" s="8"/>
      <c r="BW112" s="8"/>
    </row>
    <row r="113" spans="1:78" ht="12" customHeight="1" outlineLevel="2" x14ac:dyDescent="0.35">
      <c r="A113" s="5"/>
      <c r="B113" s="5"/>
      <c r="C113" s="5"/>
      <c r="D113" s="5"/>
      <c r="E113" s="5"/>
      <c r="F113" s="5"/>
      <c r="G113" s="5"/>
      <c r="H113" s="5"/>
      <c r="I113" s="5"/>
      <c r="J113" s="5"/>
      <c r="K113" s="5"/>
      <c r="L113" s="5"/>
      <c r="M113" s="5"/>
      <c r="N113" s="5"/>
      <c r="O113" s="5"/>
      <c r="P113" s="5"/>
      <c r="Q113" s="5"/>
      <c r="R113" s="5"/>
      <c r="S113" s="5"/>
      <c r="T113" s="5"/>
      <c r="U113" s="5"/>
      <c r="V113" s="5"/>
      <c r="AJ113" s="13"/>
      <c r="AK113" s="13"/>
      <c r="AL113" s="13"/>
      <c r="AM113" s="13"/>
      <c r="AN113" s="13"/>
      <c r="AO113" s="13"/>
      <c r="AP113" s="13"/>
      <c r="AQ113" s="13"/>
      <c r="AR113" s="13"/>
      <c r="AS113" s="13"/>
      <c r="AT113" s="3"/>
      <c r="AU113" s="3"/>
      <c r="BF113" s="8"/>
      <c r="BG113" s="8"/>
      <c r="BH113" s="8"/>
      <c r="BI113" s="8"/>
      <c r="BJ113" s="8"/>
      <c r="BK113" s="8"/>
      <c r="BL113" s="8"/>
      <c r="BM113" s="8"/>
      <c r="BN113" s="8"/>
      <c r="BO113" s="8"/>
      <c r="BP113" s="8"/>
      <c r="BQ113" s="8"/>
      <c r="BR113" s="8"/>
      <c r="BS113" s="8"/>
      <c r="BT113" s="8"/>
      <c r="BU113" s="8"/>
      <c r="BV113" s="8"/>
      <c r="BW113" s="8"/>
    </row>
    <row r="114" spans="1:78" ht="12" customHeight="1" outlineLevel="2" x14ac:dyDescent="0.35">
      <c r="C114" s="5"/>
      <c r="D114" s="5"/>
      <c r="E114" s="5"/>
      <c r="F114" s="5"/>
      <c r="G114" s="5"/>
      <c r="H114" s="5"/>
      <c r="I114" s="5"/>
      <c r="J114" s="5"/>
      <c r="K114" s="5"/>
      <c r="L114" s="5"/>
      <c r="M114" s="5"/>
      <c r="N114" s="5"/>
      <c r="O114" s="5"/>
      <c r="P114" s="5"/>
      <c r="Q114" s="5"/>
      <c r="R114" s="5"/>
      <c r="S114" s="5"/>
      <c r="T114" s="5"/>
      <c r="U114" s="5"/>
      <c r="V114" s="5"/>
      <c r="Y114" s="227" t="str">
        <f>BM$7</f>
        <v>Kentucky</v>
      </c>
      <c r="Z114" s="227"/>
      <c r="AA114" s="227"/>
      <c r="AB114" s="227"/>
      <c r="AC114" s="227"/>
      <c r="AD114" s="227"/>
      <c r="AE114" s="14"/>
      <c r="AF114" s="14"/>
      <c r="AG114" s="227" t="s">
        <v>3</v>
      </c>
      <c r="AH114" s="227"/>
      <c r="AI114" s="227"/>
      <c r="AJ114" s="227"/>
      <c r="AK114" s="227"/>
      <c r="AL114" s="227"/>
      <c r="AM114" s="14"/>
      <c r="AN114" s="14"/>
      <c r="AO114" s="227" t="s">
        <v>4</v>
      </c>
      <c r="AP114" s="227"/>
      <c r="AQ114" s="227"/>
      <c r="AR114" s="227"/>
      <c r="AS114" s="227"/>
      <c r="AT114" s="227"/>
      <c r="BE114" s="7"/>
      <c r="BF114" s="7"/>
      <c r="BG114" s="7"/>
      <c r="BH114" s="7"/>
      <c r="BI114" s="7"/>
      <c r="BJ114" s="7"/>
      <c r="BK114" s="7"/>
      <c r="BL114" s="7"/>
      <c r="BM114" s="7"/>
      <c r="BN114" s="7"/>
      <c r="BO114" s="7"/>
      <c r="BP114" s="7"/>
      <c r="BQ114" s="7"/>
      <c r="BR114" s="7"/>
      <c r="BS114" s="7"/>
      <c r="BT114" s="7"/>
      <c r="BU114" s="7"/>
      <c r="BV114" s="7"/>
      <c r="BW114" s="7"/>
      <c r="BX114" s="7"/>
      <c r="BY114" s="7"/>
      <c r="BZ114" s="7"/>
    </row>
    <row r="115" spans="1:78" ht="12" customHeight="1" outlineLevel="2" x14ac:dyDescent="0.35">
      <c r="Y115" s="228"/>
      <c r="Z115" s="228"/>
      <c r="AA115" s="228"/>
      <c r="AB115" s="228"/>
      <c r="AC115" s="228"/>
      <c r="AD115" s="228"/>
      <c r="AE115" s="15"/>
      <c r="AF115" s="15"/>
      <c r="AG115" s="228"/>
      <c r="AH115" s="228"/>
      <c r="AI115" s="228"/>
      <c r="AJ115" s="228"/>
      <c r="AK115" s="228"/>
      <c r="AL115" s="228"/>
      <c r="AM115" s="15"/>
      <c r="AN115" s="15"/>
      <c r="AO115" s="228"/>
      <c r="AP115" s="228"/>
      <c r="AQ115" s="228"/>
      <c r="AR115" s="228"/>
      <c r="AS115" s="228"/>
      <c r="AT115" s="228"/>
      <c r="BE115" s="7"/>
      <c r="BF115" s="7"/>
      <c r="BG115" s="7"/>
      <c r="BH115" s="7"/>
      <c r="BI115" s="7"/>
      <c r="BJ115" s="7"/>
      <c r="BK115" s="7"/>
      <c r="BL115" s="7"/>
      <c r="BM115" s="7"/>
      <c r="BN115" s="7"/>
      <c r="BO115" s="7"/>
      <c r="BP115" s="7"/>
      <c r="BQ115" s="7"/>
      <c r="BR115" s="7"/>
      <c r="BS115" s="7"/>
      <c r="BT115" s="7"/>
      <c r="BU115" s="7"/>
      <c r="BV115" s="7"/>
      <c r="BW115" s="7"/>
      <c r="BX115" s="7"/>
      <c r="BY115" s="7"/>
      <c r="BZ115" s="7"/>
    </row>
    <row r="116" spans="1:78" ht="12" customHeight="1" outlineLevel="2" x14ac:dyDescent="0.35">
      <c r="C116" s="219" t="s">
        <v>758</v>
      </c>
      <c r="D116" s="219"/>
      <c r="E116" s="219"/>
      <c r="F116" s="219"/>
      <c r="G116" s="219"/>
      <c r="H116" s="219"/>
      <c r="I116" s="219"/>
      <c r="J116" s="219"/>
      <c r="K116" s="219"/>
      <c r="L116" s="219"/>
      <c r="M116" s="219"/>
      <c r="N116" s="219"/>
      <c r="O116" s="219"/>
      <c r="P116" s="219"/>
      <c r="Q116" s="219"/>
      <c r="R116" s="219"/>
      <c r="S116" s="219"/>
      <c r="T116" s="219"/>
      <c r="U116" s="219"/>
      <c r="V116" s="219"/>
      <c r="W116" s="10"/>
      <c r="X116" s="10"/>
      <c r="Y116" s="220">
        <f>VLOOKUP('State Detail'!BM$7,'Raw Data'!A2:X51,24,FALSE)</f>
        <v>7928.2624765761302</v>
      </c>
      <c r="Z116" s="220"/>
      <c r="AA116" s="220"/>
      <c r="AB116" s="220"/>
      <c r="AC116" s="220"/>
      <c r="AD116" s="220"/>
      <c r="AE116" s="9"/>
      <c r="AF116" s="9"/>
      <c r="AG116" s="220">
        <f>'Raw Data'!X53</f>
        <v>4001.4371843647536</v>
      </c>
      <c r="AH116" s="220"/>
      <c r="AI116" s="220"/>
      <c r="AJ116" s="220"/>
      <c r="AK116" s="220"/>
      <c r="AL116" s="220"/>
      <c r="AM116" s="9"/>
      <c r="AN116" s="9"/>
      <c r="AO116" s="214">
        <f>VLOOKUP('State Detail'!BM$7,'Int Data - Case 2'!A1:W55,13,FALSE)</f>
        <v>7</v>
      </c>
      <c r="AP116" s="214"/>
      <c r="AQ116" s="214"/>
      <c r="AR116" s="214"/>
      <c r="AS116" s="214"/>
      <c r="AT116" s="214"/>
      <c r="AZ116" s="12"/>
      <c r="BA116" s="12"/>
      <c r="BB116" s="12"/>
      <c r="BC116" s="12"/>
      <c r="BD116" s="12"/>
      <c r="BE116" s="12"/>
      <c r="BF116" s="12"/>
      <c r="BG116" s="12"/>
      <c r="BH116" s="12"/>
      <c r="BI116" s="12"/>
      <c r="BJ116" s="12"/>
      <c r="BK116" s="12"/>
      <c r="BL116" s="12"/>
      <c r="BM116" s="12"/>
      <c r="BN116" s="12"/>
      <c r="BO116" s="12"/>
      <c r="BP116" s="12"/>
      <c r="BQ116" s="12"/>
      <c r="BR116" s="12"/>
      <c r="BS116" s="12"/>
      <c r="BT116" s="12"/>
      <c r="BU116" s="12"/>
      <c r="BV116" s="12"/>
      <c r="BW116" s="12"/>
    </row>
    <row r="117" spans="1:78" ht="12" customHeight="1" outlineLevel="2" x14ac:dyDescent="0.35">
      <c r="C117" s="219"/>
      <c r="D117" s="219"/>
      <c r="E117" s="219"/>
      <c r="F117" s="219"/>
      <c r="G117" s="219"/>
      <c r="H117" s="219"/>
      <c r="I117" s="219"/>
      <c r="J117" s="219"/>
      <c r="K117" s="219"/>
      <c r="L117" s="219"/>
      <c r="M117" s="219"/>
      <c r="N117" s="219"/>
      <c r="O117" s="219"/>
      <c r="P117" s="219"/>
      <c r="Q117" s="219"/>
      <c r="R117" s="219"/>
      <c r="S117" s="219"/>
      <c r="T117" s="219"/>
      <c r="U117" s="219"/>
      <c r="V117" s="219"/>
      <c r="W117" s="10"/>
      <c r="X117" s="10"/>
      <c r="Y117" s="220"/>
      <c r="Z117" s="220"/>
      <c r="AA117" s="220"/>
      <c r="AB117" s="220"/>
      <c r="AC117" s="220"/>
      <c r="AD117" s="220"/>
      <c r="AE117" s="9"/>
      <c r="AF117" s="9"/>
      <c r="AG117" s="220"/>
      <c r="AH117" s="220"/>
      <c r="AI117" s="220"/>
      <c r="AJ117" s="220"/>
      <c r="AK117" s="220"/>
      <c r="AL117" s="220"/>
      <c r="AM117" s="9"/>
      <c r="AN117" s="9"/>
      <c r="AO117" s="214"/>
      <c r="AP117" s="214"/>
      <c r="AQ117" s="214"/>
      <c r="AR117" s="214"/>
      <c r="AS117" s="214"/>
      <c r="AT117" s="214"/>
      <c r="AY117" s="12"/>
      <c r="AZ117" s="12"/>
      <c r="BA117" s="12"/>
      <c r="BB117" s="12"/>
      <c r="BC117" s="12"/>
      <c r="BD117" s="12"/>
      <c r="BE117" s="12"/>
      <c r="BF117" s="12"/>
      <c r="BG117" s="12"/>
      <c r="BH117" s="12"/>
      <c r="BI117" s="12"/>
      <c r="BJ117" s="12"/>
      <c r="BK117" s="12"/>
      <c r="BL117" s="12"/>
      <c r="BM117" s="12"/>
      <c r="BN117" s="12"/>
      <c r="BO117" s="12"/>
      <c r="BP117" s="12"/>
      <c r="BQ117" s="12"/>
      <c r="BR117" s="12"/>
      <c r="BS117" s="12"/>
      <c r="BT117" s="12"/>
      <c r="BU117" s="12"/>
      <c r="BV117" s="12"/>
      <c r="BW117" s="12"/>
    </row>
    <row r="118" spans="1:78" ht="12" customHeight="1" outlineLevel="2" x14ac:dyDescent="0.35">
      <c r="C118" s="4"/>
      <c r="D118" s="4"/>
      <c r="E118" s="4"/>
      <c r="F118" s="4"/>
      <c r="G118" s="4"/>
      <c r="H118" s="4"/>
      <c r="I118" s="4"/>
      <c r="J118" s="4"/>
      <c r="K118" s="4"/>
      <c r="L118" s="4"/>
      <c r="M118" s="4"/>
      <c r="N118" s="4"/>
      <c r="O118" s="4"/>
      <c r="P118" s="4"/>
      <c r="Q118" s="4"/>
      <c r="R118" s="4"/>
      <c r="S118" s="4"/>
      <c r="T118" s="4"/>
      <c r="U118" s="4"/>
      <c r="V118" s="4"/>
      <c r="Z118" s="8"/>
      <c r="AA118" s="8"/>
      <c r="AB118" s="8"/>
      <c r="AC118" s="8"/>
      <c r="AD118" s="8"/>
      <c r="AE118" s="8"/>
      <c r="AF118" s="8"/>
      <c r="AG118" s="8"/>
      <c r="AH118" s="8"/>
      <c r="AI118" s="8"/>
      <c r="AJ118" s="8"/>
      <c r="AK118" s="8"/>
      <c r="AL118" s="8"/>
      <c r="AM118" s="8"/>
      <c r="AN118" s="8"/>
      <c r="AO118" s="8"/>
      <c r="AP118" s="8"/>
      <c r="AQ118" s="8"/>
      <c r="AY118" s="12"/>
      <c r="AZ118" s="12"/>
      <c r="BA118" s="12"/>
      <c r="BB118" s="12"/>
      <c r="BC118" s="12"/>
      <c r="BD118" s="12"/>
      <c r="BE118" s="12"/>
      <c r="BF118" s="12"/>
      <c r="BG118" s="12"/>
      <c r="BH118" s="12"/>
      <c r="BI118" s="12"/>
      <c r="BJ118" s="12"/>
      <c r="BK118" s="12"/>
      <c r="BL118" s="12"/>
      <c r="BM118" s="12"/>
      <c r="BN118" s="12"/>
      <c r="BO118" s="12"/>
      <c r="BP118" s="12"/>
      <c r="BQ118" s="12"/>
      <c r="BR118" s="12"/>
      <c r="BS118" s="12"/>
      <c r="BT118" s="12"/>
      <c r="BU118" s="12"/>
      <c r="BV118" s="12"/>
      <c r="BW118" s="12"/>
    </row>
    <row r="119" spans="1:78" ht="12" customHeight="1" outlineLevel="2" x14ac:dyDescent="0.35">
      <c r="Z119" s="8"/>
      <c r="AA119" s="8"/>
      <c r="AB119" s="8"/>
      <c r="AC119" s="8"/>
      <c r="AD119" s="8"/>
      <c r="AE119" s="8"/>
      <c r="AF119" s="8"/>
      <c r="AG119" s="8"/>
      <c r="AH119" s="8"/>
      <c r="AI119" s="8"/>
      <c r="AJ119" s="8"/>
      <c r="AK119" s="8"/>
      <c r="AL119" s="8"/>
      <c r="AM119" s="8"/>
      <c r="AN119" s="8"/>
      <c r="AO119" s="8"/>
      <c r="AP119" s="8"/>
      <c r="AQ119" s="8"/>
      <c r="AW119" s="223" t="s">
        <v>213</v>
      </c>
      <c r="AX119" s="223"/>
      <c r="AY119" s="223"/>
      <c r="AZ119" s="223"/>
      <c r="BA119" s="223"/>
      <c r="BB119" s="223"/>
      <c r="BC119" s="223"/>
      <c r="BD119" s="223"/>
      <c r="BE119" s="223"/>
      <c r="BF119" s="223"/>
      <c r="BG119" s="223"/>
      <c r="BH119" s="223"/>
      <c r="BI119" s="223"/>
      <c r="BJ119" s="223"/>
      <c r="BK119" s="223"/>
      <c r="BL119" s="223"/>
      <c r="BM119" s="223"/>
      <c r="BN119" s="223"/>
      <c r="BO119" s="223"/>
      <c r="BP119" s="223"/>
      <c r="BQ119" s="223"/>
      <c r="BR119" s="222">
        <f>VLOOKUP($BM$7,'Int Data - Case 2'!A1:W55,19,FALSE)</f>
        <v>17</v>
      </c>
      <c r="BS119" s="222"/>
      <c r="BT119" s="222"/>
      <c r="BU119" s="222"/>
      <c r="BV119" s="222"/>
      <c r="BW119" s="222"/>
    </row>
    <row r="120" spans="1:78" ht="12" customHeight="1" outlineLevel="2" x14ac:dyDescent="0.35">
      <c r="C120" s="219" t="s">
        <v>759</v>
      </c>
      <c r="D120" s="219"/>
      <c r="E120" s="219"/>
      <c r="F120" s="219"/>
      <c r="G120" s="219"/>
      <c r="H120" s="219"/>
      <c r="I120" s="219"/>
      <c r="J120" s="219"/>
      <c r="K120" s="219"/>
      <c r="L120" s="219"/>
      <c r="M120" s="219"/>
      <c r="N120" s="219"/>
      <c r="O120" s="219"/>
      <c r="P120" s="219"/>
      <c r="Q120" s="219"/>
      <c r="R120" s="219"/>
      <c r="S120" s="219"/>
      <c r="T120" s="219"/>
      <c r="U120" s="219"/>
      <c r="V120" s="219"/>
      <c r="W120" s="10"/>
      <c r="X120" s="10"/>
      <c r="Y120" s="221">
        <f>VLOOKUP('State Detail'!BM$7,'Raw Data'!A2:X51,23,FALSE)</f>
        <v>0.56099376513782362</v>
      </c>
      <c r="Z120" s="221"/>
      <c r="AA120" s="221"/>
      <c r="AB120" s="221"/>
      <c r="AC120" s="221"/>
      <c r="AD120" s="221"/>
      <c r="AE120" s="202"/>
      <c r="AF120" s="202"/>
      <c r="AG120" s="221">
        <f>'Raw Data'!W53</f>
        <v>0.62825954093815806</v>
      </c>
      <c r="AH120" s="221"/>
      <c r="AI120" s="221"/>
      <c r="AJ120" s="221"/>
      <c r="AK120" s="221"/>
      <c r="AL120" s="221"/>
      <c r="AM120" s="9"/>
      <c r="AN120" s="9"/>
      <c r="AO120" s="214">
        <f>VLOOKUP('State Detail'!BM$7,'Int Data - Case 2'!A1:W55,12,FALSE)</f>
        <v>32</v>
      </c>
      <c r="AP120" s="214"/>
      <c r="AQ120" s="214"/>
      <c r="AR120" s="214"/>
      <c r="AS120" s="214"/>
      <c r="AT120" s="214"/>
      <c r="AW120" s="223"/>
      <c r="AX120" s="223"/>
      <c r="AY120" s="223"/>
      <c r="AZ120" s="223"/>
      <c r="BA120" s="223"/>
      <c r="BB120" s="223"/>
      <c r="BC120" s="223"/>
      <c r="BD120" s="223"/>
      <c r="BE120" s="223"/>
      <c r="BF120" s="223"/>
      <c r="BG120" s="223"/>
      <c r="BH120" s="223"/>
      <c r="BI120" s="223"/>
      <c r="BJ120" s="223"/>
      <c r="BK120" s="223"/>
      <c r="BL120" s="223"/>
      <c r="BM120" s="223"/>
      <c r="BN120" s="223"/>
      <c r="BO120" s="223"/>
      <c r="BP120" s="223"/>
      <c r="BQ120" s="223"/>
      <c r="BR120" s="222"/>
      <c r="BS120" s="222"/>
      <c r="BT120" s="222"/>
      <c r="BU120" s="222"/>
      <c r="BV120" s="222"/>
      <c r="BW120" s="222"/>
    </row>
    <row r="121" spans="1:78" ht="12" customHeight="1" outlineLevel="2" x14ac:dyDescent="0.35">
      <c r="C121" s="219"/>
      <c r="D121" s="219"/>
      <c r="E121" s="219"/>
      <c r="F121" s="219"/>
      <c r="G121" s="219"/>
      <c r="H121" s="219"/>
      <c r="I121" s="219"/>
      <c r="J121" s="219"/>
      <c r="K121" s="219"/>
      <c r="L121" s="219"/>
      <c r="M121" s="219"/>
      <c r="N121" s="219"/>
      <c r="O121" s="219"/>
      <c r="P121" s="219"/>
      <c r="Q121" s="219"/>
      <c r="R121" s="219"/>
      <c r="S121" s="219"/>
      <c r="T121" s="219"/>
      <c r="U121" s="219"/>
      <c r="V121" s="219"/>
      <c r="W121" s="10"/>
      <c r="X121" s="10"/>
      <c r="Y121" s="221"/>
      <c r="Z121" s="221"/>
      <c r="AA121" s="221"/>
      <c r="AB121" s="221"/>
      <c r="AC121" s="221"/>
      <c r="AD121" s="221"/>
      <c r="AE121" s="202"/>
      <c r="AF121" s="202"/>
      <c r="AG121" s="221"/>
      <c r="AH121" s="221"/>
      <c r="AI121" s="221"/>
      <c r="AJ121" s="221"/>
      <c r="AK121" s="221"/>
      <c r="AL121" s="221"/>
      <c r="AM121" s="9"/>
      <c r="AN121" s="9"/>
      <c r="AO121" s="214"/>
      <c r="AP121" s="214"/>
      <c r="AQ121" s="214"/>
      <c r="AR121" s="214"/>
      <c r="AS121" s="214"/>
      <c r="AT121" s="214"/>
      <c r="AW121" s="223"/>
      <c r="AX121" s="223"/>
      <c r="AY121" s="223"/>
      <c r="AZ121" s="223"/>
      <c r="BA121" s="223"/>
      <c r="BB121" s="223"/>
      <c r="BC121" s="223"/>
      <c r="BD121" s="223"/>
      <c r="BE121" s="223"/>
      <c r="BF121" s="223"/>
      <c r="BG121" s="223"/>
      <c r="BH121" s="223"/>
      <c r="BI121" s="223"/>
      <c r="BJ121" s="223"/>
      <c r="BK121" s="223"/>
      <c r="BL121" s="223"/>
      <c r="BM121" s="223"/>
      <c r="BN121" s="223"/>
      <c r="BO121" s="223"/>
      <c r="BP121" s="223"/>
      <c r="BQ121" s="223"/>
      <c r="BR121" s="222"/>
      <c r="BS121" s="222"/>
      <c r="BT121" s="222"/>
      <c r="BU121" s="222"/>
      <c r="BV121" s="222"/>
      <c r="BW121" s="222"/>
    </row>
    <row r="122" spans="1:78" ht="12" customHeight="1" outlineLevel="2" x14ac:dyDescent="0.35">
      <c r="J122" s="2"/>
      <c r="K122" s="2"/>
      <c r="L122" s="2"/>
      <c r="Z122" s="8"/>
      <c r="AA122" s="8"/>
      <c r="AB122" s="8"/>
      <c r="AC122" s="8"/>
      <c r="AD122" s="8"/>
      <c r="AE122" s="8"/>
      <c r="AF122" s="8"/>
      <c r="AG122" s="8"/>
      <c r="AH122" s="8"/>
      <c r="AI122" s="8"/>
      <c r="AJ122" s="8"/>
      <c r="AK122" s="8"/>
      <c r="AL122" s="8"/>
      <c r="AM122" s="8"/>
      <c r="AN122" s="8"/>
      <c r="AO122" s="8"/>
      <c r="AP122" s="8"/>
      <c r="AQ122" s="8"/>
    </row>
    <row r="123" spans="1:78" ht="12" customHeight="1" outlineLevel="1" x14ac:dyDescent="0.35">
      <c r="A123" s="225" t="s">
        <v>643</v>
      </c>
      <c r="B123" s="225"/>
      <c r="C123" s="225"/>
      <c r="D123" s="225"/>
      <c r="E123" s="225"/>
      <c r="F123" s="225"/>
      <c r="G123" s="225"/>
      <c r="H123" s="225"/>
      <c r="I123" s="225"/>
      <c r="J123" s="225"/>
      <c r="K123" s="225"/>
      <c r="L123" s="225"/>
      <c r="M123" s="225"/>
      <c r="N123" s="225"/>
      <c r="O123" s="225"/>
      <c r="P123" s="225"/>
      <c r="Q123" s="225"/>
      <c r="R123" s="225"/>
      <c r="S123" s="225"/>
      <c r="T123" s="225"/>
      <c r="U123" s="225"/>
      <c r="V123" s="225"/>
      <c r="W123" s="6"/>
      <c r="X123" s="6"/>
      <c r="Y123" s="6"/>
      <c r="Z123" s="6"/>
      <c r="AA123" s="6"/>
      <c r="AB123" s="6"/>
      <c r="AC123" s="6"/>
      <c r="AD123" s="6"/>
      <c r="AE123" s="6"/>
      <c r="AF123" s="6"/>
      <c r="AG123" s="6"/>
      <c r="AH123" s="6"/>
      <c r="AI123" s="6"/>
      <c r="AJ123" s="226"/>
      <c r="AK123" s="226"/>
      <c r="AL123" s="226"/>
      <c r="AM123" s="226"/>
      <c r="AN123" s="226"/>
      <c r="AO123" s="226"/>
      <c r="AP123" s="226"/>
      <c r="AQ123" s="226"/>
      <c r="AR123" s="226"/>
      <c r="AS123" s="226"/>
      <c r="AT123" s="6"/>
      <c r="AU123" s="6"/>
      <c r="BF123" s="8"/>
      <c r="BG123" s="8"/>
      <c r="BH123" s="8"/>
      <c r="BI123" s="8"/>
      <c r="BJ123" s="8"/>
      <c r="BK123" s="8"/>
      <c r="BL123" s="8"/>
      <c r="BM123" s="8"/>
      <c r="BN123" s="8"/>
      <c r="BO123" s="8"/>
      <c r="BP123" s="8"/>
      <c r="BQ123" s="8"/>
      <c r="BR123" s="8"/>
      <c r="BS123" s="8"/>
      <c r="BT123" s="8"/>
      <c r="BU123" s="8"/>
      <c r="BV123" s="8"/>
      <c r="BW123" s="8"/>
    </row>
    <row r="124" spans="1:78" ht="12" customHeight="1" outlineLevel="1" x14ac:dyDescent="0.35">
      <c r="A124" s="225"/>
      <c r="B124" s="225"/>
      <c r="C124" s="225"/>
      <c r="D124" s="225"/>
      <c r="E124" s="225"/>
      <c r="F124" s="225"/>
      <c r="G124" s="225"/>
      <c r="H124" s="225"/>
      <c r="I124" s="225"/>
      <c r="J124" s="225"/>
      <c r="K124" s="225"/>
      <c r="L124" s="225"/>
      <c r="M124" s="225"/>
      <c r="N124" s="225"/>
      <c r="O124" s="225"/>
      <c r="P124" s="225"/>
      <c r="Q124" s="225"/>
      <c r="R124" s="225"/>
      <c r="S124" s="225"/>
      <c r="T124" s="225"/>
      <c r="U124" s="225"/>
      <c r="V124" s="225"/>
      <c r="W124" s="6"/>
      <c r="X124" s="6"/>
      <c r="Y124" s="6"/>
      <c r="Z124" s="6"/>
      <c r="AA124" s="6"/>
      <c r="AB124" s="6"/>
      <c r="AC124" s="6"/>
      <c r="AD124" s="6"/>
      <c r="AE124" s="6"/>
      <c r="AF124" s="6"/>
      <c r="AG124" s="6"/>
      <c r="AH124" s="6"/>
      <c r="AI124" s="6"/>
      <c r="AJ124" s="226"/>
      <c r="AK124" s="226"/>
      <c r="AL124" s="226"/>
      <c r="AM124" s="226"/>
      <c r="AN124" s="226"/>
      <c r="AO124" s="226"/>
      <c r="AP124" s="226"/>
      <c r="AQ124" s="226"/>
      <c r="AR124" s="226"/>
      <c r="AS124" s="226"/>
      <c r="AT124" s="6"/>
      <c r="AU124" s="6"/>
      <c r="BF124" s="8"/>
      <c r="BG124" s="8"/>
      <c r="BH124" s="8"/>
      <c r="BI124" s="8"/>
      <c r="BJ124" s="8"/>
      <c r="BK124" s="8"/>
      <c r="BL124" s="8"/>
      <c r="BM124" s="8"/>
      <c r="BN124" s="8"/>
      <c r="BO124" s="8"/>
      <c r="BP124" s="8"/>
      <c r="BQ124" s="8"/>
      <c r="BR124" s="8"/>
      <c r="BS124" s="8"/>
      <c r="BT124" s="8"/>
      <c r="BU124" s="8"/>
      <c r="BV124" s="8"/>
      <c r="BW124" s="8"/>
    </row>
    <row r="125" spans="1:78" ht="12" customHeight="1" outlineLevel="1" x14ac:dyDescent="0.35">
      <c r="J125" s="2"/>
      <c r="K125" s="2"/>
      <c r="L125" s="2"/>
      <c r="Z125" s="8"/>
      <c r="AA125" s="8"/>
      <c r="AB125" s="8"/>
      <c r="AC125" s="8"/>
      <c r="AD125" s="8"/>
      <c r="AE125" s="8"/>
      <c r="AF125" s="8"/>
      <c r="AG125" s="8"/>
      <c r="AH125" s="8"/>
      <c r="AI125" s="8"/>
      <c r="AJ125" s="8"/>
      <c r="AK125" s="8"/>
      <c r="AL125" s="8"/>
      <c r="AM125" s="8"/>
      <c r="AN125" s="8"/>
      <c r="AO125" s="8"/>
      <c r="AP125" s="8"/>
      <c r="AQ125" s="8"/>
    </row>
    <row r="126" spans="1:78" ht="12" customHeight="1" outlineLevel="1" x14ac:dyDescent="0.35">
      <c r="C126" s="5"/>
      <c r="D126" s="5"/>
      <c r="E126" s="5"/>
      <c r="F126" s="5"/>
      <c r="G126" s="5"/>
      <c r="H126" s="5"/>
      <c r="I126" s="5"/>
      <c r="J126" s="5"/>
      <c r="K126" s="5"/>
      <c r="L126" s="5"/>
      <c r="M126" s="5"/>
      <c r="N126" s="5"/>
      <c r="O126" s="5"/>
      <c r="P126" s="5"/>
      <c r="Q126" s="5"/>
      <c r="R126" s="5"/>
      <c r="S126" s="5"/>
      <c r="T126" s="5"/>
      <c r="U126" s="5"/>
      <c r="V126" s="5"/>
      <c r="Y126" s="227" t="str">
        <f>BM$7</f>
        <v>Kentucky</v>
      </c>
      <c r="Z126" s="227"/>
      <c r="AA126" s="227"/>
      <c r="AB126" s="227"/>
      <c r="AC126" s="227"/>
      <c r="AD126" s="227"/>
      <c r="AE126" s="14"/>
      <c r="AF126" s="14"/>
      <c r="AG126" s="227" t="s">
        <v>3</v>
      </c>
      <c r="AH126" s="227"/>
      <c r="AI126" s="227"/>
      <c r="AJ126" s="227"/>
      <c r="AK126" s="227"/>
      <c r="AL126" s="227"/>
      <c r="AM126" s="14"/>
      <c r="AN126" s="14"/>
      <c r="AO126" s="227" t="s">
        <v>4</v>
      </c>
      <c r="AP126" s="227"/>
      <c r="AQ126" s="227"/>
      <c r="AR126" s="227"/>
      <c r="AS126" s="227"/>
      <c r="AT126" s="227"/>
    </row>
    <row r="127" spans="1:78" ht="12" customHeight="1" outlineLevel="1" x14ac:dyDescent="0.35">
      <c r="Y127" s="228"/>
      <c r="Z127" s="228"/>
      <c r="AA127" s="228"/>
      <c r="AB127" s="228"/>
      <c r="AC127" s="228"/>
      <c r="AD127" s="228"/>
      <c r="AE127" s="15"/>
      <c r="AF127" s="15"/>
      <c r="AG127" s="228"/>
      <c r="AH127" s="228"/>
      <c r="AI127" s="228"/>
      <c r="AJ127" s="228"/>
      <c r="AK127" s="228"/>
      <c r="AL127" s="228"/>
      <c r="AM127" s="15"/>
      <c r="AN127" s="15"/>
      <c r="AO127" s="228"/>
      <c r="AP127" s="228"/>
      <c r="AQ127" s="228"/>
      <c r="AR127" s="228"/>
      <c r="AS127" s="228"/>
      <c r="AT127" s="228"/>
    </row>
    <row r="128" spans="1:78" ht="12" customHeight="1" outlineLevel="1" x14ac:dyDescent="0.35">
      <c r="C128" s="219" t="s">
        <v>791</v>
      </c>
      <c r="D128" s="219"/>
      <c r="E128" s="219"/>
      <c r="F128" s="219"/>
      <c r="G128" s="219"/>
      <c r="H128" s="219"/>
      <c r="I128" s="219"/>
      <c r="J128" s="219"/>
      <c r="K128" s="219"/>
      <c r="L128" s="219"/>
      <c r="M128" s="219"/>
      <c r="N128" s="219"/>
      <c r="O128" s="219"/>
      <c r="P128" s="219"/>
      <c r="Q128" s="219"/>
      <c r="R128" s="219"/>
      <c r="S128" s="219"/>
      <c r="T128" s="219"/>
      <c r="U128" s="219"/>
      <c r="V128" s="219"/>
      <c r="W128" s="10"/>
      <c r="X128" s="10"/>
      <c r="Y128" s="220">
        <f>VLOOKUP('State Detail'!BM$7,RawData[[#All],[State]:[Opportunity to leverage existing policies and initiatives]],48,FALSE)</f>
        <v>936255700</v>
      </c>
      <c r="Z128" s="220"/>
      <c r="AA128" s="220"/>
      <c r="AB128" s="220"/>
      <c r="AC128" s="220"/>
      <c r="AD128" s="220"/>
      <c r="AE128" s="9"/>
      <c r="AF128" s="9"/>
      <c r="AG128" s="220">
        <f>'Raw Data'!AV$53</f>
        <v>2177519875.8200002</v>
      </c>
      <c r="AH128" s="220"/>
      <c r="AI128" s="220"/>
      <c r="AJ128" s="220"/>
      <c r="AK128" s="220"/>
      <c r="AL128" s="220"/>
      <c r="AM128" s="9"/>
      <c r="AN128" s="9"/>
      <c r="AO128" s="233">
        <f>VLOOKUP('State Detail'!BM$7,'Int Data - Case 2'!A1:AZ55,25,FALSE)</f>
        <v>31</v>
      </c>
      <c r="AP128" s="233"/>
      <c r="AQ128" s="233"/>
      <c r="AR128" s="233"/>
      <c r="AS128" s="233"/>
      <c r="AT128" s="233"/>
    </row>
    <row r="129" spans="1:75" ht="12" customHeight="1" outlineLevel="1" x14ac:dyDescent="0.35">
      <c r="C129" s="219"/>
      <c r="D129" s="219"/>
      <c r="E129" s="219"/>
      <c r="F129" s="219"/>
      <c r="G129" s="219"/>
      <c r="H129" s="219"/>
      <c r="I129" s="219"/>
      <c r="J129" s="219"/>
      <c r="K129" s="219"/>
      <c r="L129" s="219"/>
      <c r="M129" s="219"/>
      <c r="N129" s="219"/>
      <c r="O129" s="219"/>
      <c r="P129" s="219"/>
      <c r="Q129" s="219"/>
      <c r="R129" s="219"/>
      <c r="S129" s="219"/>
      <c r="T129" s="219"/>
      <c r="U129" s="219"/>
      <c r="V129" s="219"/>
      <c r="W129" s="10"/>
      <c r="X129" s="10"/>
      <c r="Y129" s="220"/>
      <c r="Z129" s="220"/>
      <c r="AA129" s="220"/>
      <c r="AB129" s="220"/>
      <c r="AC129" s="220"/>
      <c r="AD129" s="220"/>
      <c r="AE129" s="9"/>
      <c r="AF129" s="9"/>
      <c r="AG129" s="220"/>
      <c r="AH129" s="220"/>
      <c r="AI129" s="220"/>
      <c r="AJ129" s="220"/>
      <c r="AK129" s="220"/>
      <c r="AL129" s="220"/>
      <c r="AM129" s="9"/>
      <c r="AN129" s="9"/>
      <c r="AO129" s="214"/>
      <c r="AP129" s="214"/>
      <c r="AQ129" s="214"/>
      <c r="AR129" s="214"/>
      <c r="AS129" s="214"/>
      <c r="AT129" s="214"/>
    </row>
    <row r="130" spans="1:75" ht="12" customHeight="1" outlineLevel="1" x14ac:dyDescent="0.35">
      <c r="J130" s="2"/>
      <c r="K130" s="2"/>
      <c r="L130" s="2"/>
      <c r="Z130" s="8"/>
      <c r="AA130" s="8"/>
      <c r="AB130" s="8"/>
      <c r="AC130" s="8"/>
      <c r="AD130" s="8"/>
      <c r="AE130" s="8"/>
      <c r="AF130" s="8"/>
      <c r="AG130" s="8"/>
      <c r="AH130" s="8"/>
      <c r="AI130" s="8"/>
      <c r="AJ130" s="8"/>
      <c r="AK130" s="8"/>
      <c r="AL130" s="8"/>
      <c r="AM130" s="8"/>
      <c r="AN130" s="8"/>
      <c r="AO130" s="8"/>
      <c r="AP130" s="8"/>
      <c r="AQ130" s="8"/>
    </row>
    <row r="131" spans="1:75" ht="12" customHeight="1" outlineLevel="1" x14ac:dyDescent="0.35">
      <c r="J131" s="2"/>
      <c r="K131" s="2"/>
      <c r="L131" s="2"/>
      <c r="Z131" s="8"/>
      <c r="AA131" s="8"/>
      <c r="AB131" s="8"/>
      <c r="AC131" s="8"/>
      <c r="AD131" s="8"/>
      <c r="AE131" s="8"/>
      <c r="AF131" s="8"/>
      <c r="AG131" s="8"/>
      <c r="AH131" s="8"/>
      <c r="AI131" s="8"/>
      <c r="AJ131" s="8"/>
      <c r="AK131" s="8"/>
      <c r="AL131" s="8"/>
      <c r="AM131" s="8"/>
      <c r="AN131" s="8"/>
      <c r="AO131" s="8"/>
      <c r="AP131" s="8"/>
      <c r="AQ131" s="8"/>
    </row>
    <row r="132" spans="1:75" ht="12" customHeight="1" outlineLevel="1" x14ac:dyDescent="0.35">
      <c r="C132" s="219" t="s">
        <v>760</v>
      </c>
      <c r="D132" s="219"/>
      <c r="E132" s="219"/>
      <c r="F132" s="219"/>
      <c r="G132" s="219"/>
      <c r="H132" s="219"/>
      <c r="I132" s="219"/>
      <c r="J132" s="219"/>
      <c r="K132" s="219"/>
      <c r="L132" s="219"/>
      <c r="M132" s="219"/>
      <c r="N132" s="219"/>
      <c r="O132" s="219"/>
      <c r="P132" s="219"/>
      <c r="Q132" s="219"/>
      <c r="R132" s="219"/>
      <c r="S132" s="219"/>
      <c r="T132" s="219"/>
      <c r="U132" s="219"/>
      <c r="V132" s="219"/>
      <c r="W132" s="10"/>
      <c r="X132" s="10"/>
      <c r="Y132" s="221">
        <f>VLOOKUP('State Detail'!BM$7,RawData[[#All],[State]:[Opportunity to leverage existing policies and initiatives]],21,FALSE)</f>
        <v>0.38890000000000002</v>
      </c>
      <c r="Z132" s="221"/>
      <c r="AA132" s="221"/>
      <c r="AB132" s="221"/>
      <c r="AC132" s="221"/>
      <c r="AD132" s="221"/>
      <c r="AE132" s="202"/>
      <c r="AF132" s="202"/>
      <c r="AG132" s="221">
        <f>'Raw Data'!U$53</f>
        <v>0.56427399999999983</v>
      </c>
      <c r="AH132" s="221"/>
      <c r="AI132" s="221"/>
      <c r="AJ132" s="221"/>
      <c r="AK132" s="221"/>
      <c r="AL132" s="221"/>
      <c r="AM132" s="9"/>
      <c r="AN132" s="9"/>
      <c r="AO132" s="214">
        <f>VLOOKUP('State Detail'!BM$7,'Int Data - Case 2'!A1:AZ55,26,FALSE)</f>
        <v>34</v>
      </c>
      <c r="AP132" s="214"/>
      <c r="AQ132" s="214"/>
      <c r="AR132" s="214"/>
      <c r="AS132" s="214"/>
      <c r="AT132" s="214"/>
    </row>
    <row r="133" spans="1:75" ht="12" customHeight="1" outlineLevel="1" x14ac:dyDescent="0.35">
      <c r="C133" s="219"/>
      <c r="D133" s="219"/>
      <c r="E133" s="219"/>
      <c r="F133" s="219"/>
      <c r="G133" s="219"/>
      <c r="H133" s="219"/>
      <c r="I133" s="219"/>
      <c r="J133" s="219"/>
      <c r="K133" s="219"/>
      <c r="L133" s="219"/>
      <c r="M133" s="219"/>
      <c r="N133" s="219"/>
      <c r="O133" s="219"/>
      <c r="P133" s="219"/>
      <c r="Q133" s="219"/>
      <c r="R133" s="219"/>
      <c r="S133" s="219"/>
      <c r="T133" s="219"/>
      <c r="U133" s="219"/>
      <c r="V133" s="219"/>
      <c r="W133" s="10"/>
      <c r="X133" s="10"/>
      <c r="Y133" s="221"/>
      <c r="Z133" s="221"/>
      <c r="AA133" s="221"/>
      <c r="AB133" s="221"/>
      <c r="AC133" s="221"/>
      <c r="AD133" s="221"/>
      <c r="AE133" s="202"/>
      <c r="AF133" s="202"/>
      <c r="AG133" s="221"/>
      <c r="AH133" s="221"/>
      <c r="AI133" s="221"/>
      <c r="AJ133" s="221"/>
      <c r="AK133" s="221"/>
      <c r="AL133" s="221"/>
      <c r="AM133" s="9"/>
      <c r="AN133" s="9"/>
      <c r="AO133" s="214"/>
      <c r="AP133" s="214"/>
      <c r="AQ133" s="214"/>
      <c r="AR133" s="214"/>
      <c r="AS133" s="214"/>
      <c r="AT133" s="214"/>
    </row>
    <row r="134" spans="1:75" ht="12" customHeight="1" outlineLevel="1" x14ac:dyDescent="0.35">
      <c r="J134" s="2"/>
      <c r="K134" s="2"/>
      <c r="L134" s="2"/>
      <c r="Y134" s="2"/>
      <c r="Z134" s="2"/>
      <c r="AA134" s="2"/>
      <c r="AB134" s="2"/>
      <c r="AC134" s="2"/>
      <c r="AD134" s="2"/>
      <c r="AE134" s="2"/>
      <c r="AF134" s="2"/>
      <c r="AG134" s="2"/>
      <c r="AH134" s="2"/>
      <c r="AI134" s="2"/>
      <c r="AJ134" s="2"/>
      <c r="AK134" s="2"/>
      <c r="AL134" s="2"/>
      <c r="AM134" s="8"/>
      <c r="AN134" s="8"/>
      <c r="AO134" s="8"/>
      <c r="AP134" s="8"/>
      <c r="AQ134" s="8"/>
    </row>
    <row r="135" spans="1:75" ht="12" customHeight="1" outlineLevel="1" x14ac:dyDescent="0.35">
      <c r="J135" s="2"/>
      <c r="K135" s="2"/>
      <c r="L135" s="2"/>
      <c r="Y135" s="2"/>
      <c r="Z135" s="2"/>
      <c r="AA135" s="2"/>
      <c r="AB135" s="2"/>
      <c r="AC135" s="2"/>
      <c r="AD135" s="2"/>
      <c r="AE135" s="2"/>
      <c r="AF135" s="2"/>
      <c r="AG135" s="2"/>
      <c r="AH135" s="2"/>
      <c r="AI135" s="2"/>
      <c r="AJ135" s="2"/>
      <c r="AK135" s="2"/>
      <c r="AL135" s="2"/>
      <c r="AM135" s="8"/>
      <c r="AN135" s="8"/>
      <c r="AO135" s="8"/>
      <c r="AP135" s="8"/>
      <c r="AQ135" s="8"/>
    </row>
    <row r="136" spans="1:75" ht="12" customHeight="1" outlineLevel="1" x14ac:dyDescent="0.35">
      <c r="C136" s="219" t="s">
        <v>761</v>
      </c>
      <c r="D136" s="219"/>
      <c r="E136" s="219"/>
      <c r="F136" s="219"/>
      <c r="G136" s="219"/>
      <c r="H136" s="219"/>
      <c r="I136" s="219"/>
      <c r="J136" s="219"/>
      <c r="K136" s="219"/>
      <c r="L136" s="219"/>
      <c r="M136" s="219"/>
      <c r="N136" s="219"/>
      <c r="O136" s="219"/>
      <c r="P136" s="219"/>
      <c r="Q136" s="219"/>
      <c r="R136" s="219"/>
      <c r="S136" s="219"/>
      <c r="T136" s="219"/>
      <c r="U136" s="219"/>
      <c r="V136" s="219"/>
      <c r="W136" s="10"/>
      <c r="X136" s="10"/>
      <c r="Y136" s="221">
        <f>VLOOKUP('State Detail'!BM$7,RawData[[#All],[State]:[Opportunity to leverage existing policies and initiatives]],22,FALSE)</f>
        <v>-0.311</v>
      </c>
      <c r="Z136" s="221"/>
      <c r="AA136" s="221"/>
      <c r="AB136" s="221"/>
      <c r="AC136" s="221"/>
      <c r="AD136" s="221"/>
      <c r="AE136" s="202"/>
      <c r="AF136" s="202"/>
      <c r="AG136" s="221">
        <f>'Raw Data'!V$53</f>
        <v>-0.12479999999999998</v>
      </c>
      <c r="AH136" s="221"/>
      <c r="AI136" s="221"/>
      <c r="AJ136" s="221"/>
      <c r="AK136" s="221"/>
      <c r="AL136" s="221"/>
      <c r="AM136" s="9"/>
      <c r="AN136" s="9"/>
      <c r="AO136" s="214">
        <f>VLOOKUP('State Detail'!BM$7,'Int Data - Case 2'!A1:AZ55,27,FALSE)</f>
        <v>48</v>
      </c>
      <c r="AP136" s="214"/>
      <c r="AQ136" s="214"/>
      <c r="AR136" s="214"/>
      <c r="AS136" s="214"/>
      <c r="AT136" s="214"/>
    </row>
    <row r="137" spans="1:75" ht="12" customHeight="1" outlineLevel="1" x14ac:dyDescent="0.35">
      <c r="C137" s="219"/>
      <c r="D137" s="219"/>
      <c r="E137" s="219"/>
      <c r="F137" s="219"/>
      <c r="G137" s="219"/>
      <c r="H137" s="219"/>
      <c r="I137" s="219"/>
      <c r="J137" s="219"/>
      <c r="K137" s="219"/>
      <c r="L137" s="219"/>
      <c r="M137" s="219"/>
      <c r="N137" s="219"/>
      <c r="O137" s="219"/>
      <c r="P137" s="219"/>
      <c r="Q137" s="219"/>
      <c r="R137" s="219"/>
      <c r="S137" s="219"/>
      <c r="T137" s="219"/>
      <c r="U137" s="219"/>
      <c r="V137" s="219"/>
      <c r="W137" s="10"/>
      <c r="X137" s="10"/>
      <c r="Y137" s="221"/>
      <c r="Z137" s="221"/>
      <c r="AA137" s="221"/>
      <c r="AB137" s="221"/>
      <c r="AC137" s="221"/>
      <c r="AD137" s="221"/>
      <c r="AE137" s="202"/>
      <c r="AF137" s="202"/>
      <c r="AG137" s="221"/>
      <c r="AH137" s="221"/>
      <c r="AI137" s="221"/>
      <c r="AJ137" s="221"/>
      <c r="AK137" s="221"/>
      <c r="AL137" s="221"/>
      <c r="AM137" s="9"/>
      <c r="AN137" s="9"/>
      <c r="AO137" s="214"/>
      <c r="AP137" s="214"/>
      <c r="AQ137" s="214"/>
      <c r="AR137" s="214"/>
      <c r="AS137" s="214"/>
      <c r="AT137" s="214"/>
    </row>
    <row r="139" spans="1:75" ht="12" customHeight="1" x14ac:dyDescent="0.35">
      <c r="A139" s="235" t="s">
        <v>17</v>
      </c>
      <c r="B139" s="235"/>
      <c r="C139" s="235"/>
      <c r="D139" s="235"/>
      <c r="E139" s="235"/>
      <c r="F139" s="235"/>
      <c r="G139" s="235"/>
      <c r="H139" s="235"/>
      <c r="I139" s="235"/>
      <c r="J139" s="235"/>
      <c r="K139" s="235"/>
      <c r="L139" s="235"/>
      <c r="M139" s="235"/>
      <c r="N139" s="235"/>
      <c r="O139" s="235"/>
      <c r="P139" s="235"/>
      <c r="Q139" s="235"/>
      <c r="R139" s="235"/>
      <c r="S139" s="235"/>
      <c r="T139" s="235"/>
      <c r="U139" s="235"/>
      <c r="V139" s="235"/>
      <c r="W139" s="235"/>
      <c r="X139" s="235"/>
      <c r="Y139" s="235"/>
      <c r="Z139" s="235"/>
      <c r="AA139" s="235"/>
      <c r="AB139" s="235"/>
      <c r="AC139" s="235"/>
      <c r="AD139" s="235"/>
      <c r="AE139" s="235"/>
      <c r="AF139" s="235"/>
      <c r="AG139" s="235"/>
      <c r="AH139" s="235"/>
      <c r="AI139" s="235"/>
      <c r="AJ139" s="235"/>
      <c r="AK139" s="235"/>
      <c r="AL139" s="235"/>
      <c r="AM139" s="235"/>
      <c r="AN139" s="235"/>
      <c r="AO139" s="235"/>
      <c r="AP139" s="235"/>
      <c r="AQ139" s="235"/>
      <c r="AR139" s="235"/>
      <c r="AS139" s="235"/>
      <c r="AT139" s="235"/>
      <c r="AU139" s="235"/>
      <c r="AV139" s="235"/>
      <c r="AW139" s="235"/>
      <c r="AX139" s="235"/>
      <c r="AY139" s="235"/>
      <c r="AZ139" s="235"/>
      <c r="BA139" s="235"/>
      <c r="BB139" s="235"/>
      <c r="BC139" s="235"/>
      <c r="BD139" s="235"/>
      <c r="BE139" s="235"/>
      <c r="BF139" s="235"/>
      <c r="BG139" s="235"/>
      <c r="BH139" s="235"/>
      <c r="BI139" s="235"/>
      <c r="BJ139" s="235"/>
      <c r="BK139" s="235"/>
      <c r="BL139" s="235"/>
      <c r="BM139" s="235"/>
      <c r="BN139" s="235"/>
      <c r="BO139" s="235"/>
      <c r="BP139" s="235"/>
      <c r="BQ139" s="235"/>
      <c r="BR139" s="235"/>
      <c r="BS139" s="235"/>
      <c r="BT139" s="235"/>
      <c r="BU139" s="235"/>
      <c r="BV139" s="235"/>
      <c r="BW139" s="235"/>
    </row>
    <row r="140" spans="1:75" ht="12" customHeight="1" x14ac:dyDescent="0.35">
      <c r="A140" s="235"/>
      <c r="B140" s="235"/>
      <c r="C140" s="235"/>
      <c r="D140" s="235"/>
      <c r="E140" s="235"/>
      <c r="F140" s="235"/>
      <c r="G140" s="235"/>
      <c r="H140" s="235"/>
      <c r="I140" s="235"/>
      <c r="J140" s="235"/>
      <c r="K140" s="235"/>
      <c r="L140" s="235"/>
      <c r="M140" s="235"/>
      <c r="N140" s="235"/>
      <c r="O140" s="235"/>
      <c r="P140" s="235"/>
      <c r="Q140" s="235"/>
      <c r="R140" s="235"/>
      <c r="S140" s="235"/>
      <c r="T140" s="235"/>
      <c r="U140" s="235"/>
      <c r="V140" s="235"/>
      <c r="W140" s="235"/>
      <c r="X140" s="235"/>
      <c r="Y140" s="235"/>
      <c r="Z140" s="235"/>
      <c r="AA140" s="235"/>
      <c r="AB140" s="235"/>
      <c r="AC140" s="235"/>
      <c r="AD140" s="235"/>
      <c r="AE140" s="235"/>
      <c r="AF140" s="235"/>
      <c r="AG140" s="235"/>
      <c r="AH140" s="235"/>
      <c r="AI140" s="235"/>
      <c r="AJ140" s="235"/>
      <c r="AK140" s="235"/>
      <c r="AL140" s="235"/>
      <c r="AM140" s="235"/>
      <c r="AN140" s="235"/>
      <c r="AO140" s="235"/>
      <c r="AP140" s="235"/>
      <c r="AQ140" s="235"/>
      <c r="AR140" s="235"/>
      <c r="AS140" s="235"/>
      <c r="AT140" s="235"/>
      <c r="AU140" s="235"/>
      <c r="AV140" s="235"/>
      <c r="AW140" s="235"/>
      <c r="AX140" s="235"/>
      <c r="AY140" s="235"/>
      <c r="AZ140" s="235"/>
      <c r="BA140" s="235"/>
      <c r="BB140" s="235"/>
      <c r="BC140" s="235"/>
      <c r="BD140" s="235"/>
      <c r="BE140" s="235"/>
      <c r="BF140" s="235"/>
      <c r="BG140" s="235"/>
      <c r="BH140" s="235"/>
      <c r="BI140" s="235"/>
      <c r="BJ140" s="235"/>
      <c r="BK140" s="235"/>
      <c r="BL140" s="235"/>
      <c r="BM140" s="235"/>
      <c r="BN140" s="235"/>
      <c r="BO140" s="235"/>
      <c r="BP140" s="235"/>
      <c r="BQ140" s="235"/>
      <c r="BR140" s="235"/>
      <c r="BS140" s="235"/>
      <c r="BT140" s="235"/>
      <c r="BU140" s="235"/>
      <c r="BV140" s="235"/>
      <c r="BW140" s="235"/>
    </row>
    <row r="141" spans="1:75" ht="12" customHeight="1" outlineLevel="1" x14ac:dyDescent="0.35"/>
    <row r="142" spans="1:75" ht="12" customHeight="1" outlineLevel="1" x14ac:dyDescent="0.35">
      <c r="A142" s="225" t="s">
        <v>9</v>
      </c>
      <c r="B142" s="225"/>
      <c r="C142" s="225"/>
      <c r="D142" s="225"/>
      <c r="E142" s="225"/>
      <c r="F142" s="225"/>
      <c r="G142" s="225"/>
      <c r="H142" s="225"/>
      <c r="I142" s="225"/>
      <c r="J142" s="225"/>
      <c r="K142" s="225"/>
      <c r="L142" s="225"/>
      <c r="M142" s="225"/>
      <c r="N142" s="225"/>
      <c r="O142" s="225"/>
      <c r="P142" s="225"/>
      <c r="Q142" s="225"/>
      <c r="R142" s="225"/>
      <c r="S142" s="225"/>
      <c r="T142" s="225"/>
      <c r="U142" s="225"/>
      <c r="V142" s="225"/>
      <c r="W142" s="6"/>
      <c r="X142" s="6"/>
      <c r="Y142" s="6"/>
      <c r="Z142" s="6"/>
      <c r="AA142" s="6"/>
      <c r="AB142" s="6"/>
      <c r="AC142" s="6"/>
      <c r="AD142" s="6"/>
      <c r="AE142" s="6"/>
      <c r="AF142" s="6"/>
      <c r="AG142" s="6"/>
      <c r="AH142" s="6"/>
      <c r="AI142" s="6"/>
      <c r="AJ142" s="226" t="s">
        <v>5</v>
      </c>
      <c r="AK142" s="226"/>
      <c r="AL142" s="226"/>
      <c r="AM142" s="226"/>
      <c r="AN142" s="226"/>
      <c r="AO142" s="226"/>
      <c r="AP142" s="226"/>
      <c r="AQ142" s="226"/>
      <c r="AR142" s="226"/>
      <c r="AS142" s="226"/>
      <c r="AT142" s="232">
        <f>VLOOKUP('State Detail'!BM$7,'Int Data - Case 3'!A1:Y55,10,FALSE)</f>
        <v>10</v>
      </c>
      <c r="AU142" s="232"/>
    </row>
    <row r="143" spans="1:75" ht="12" customHeight="1" outlineLevel="1" x14ac:dyDescent="0.35">
      <c r="A143" s="225"/>
      <c r="B143" s="225"/>
      <c r="C143" s="225"/>
      <c r="D143" s="225"/>
      <c r="E143" s="225"/>
      <c r="F143" s="225"/>
      <c r="G143" s="225"/>
      <c r="H143" s="225"/>
      <c r="I143" s="225"/>
      <c r="J143" s="225"/>
      <c r="K143" s="225"/>
      <c r="L143" s="225"/>
      <c r="M143" s="225"/>
      <c r="N143" s="225"/>
      <c r="O143" s="225"/>
      <c r="P143" s="225"/>
      <c r="Q143" s="225"/>
      <c r="R143" s="225"/>
      <c r="S143" s="225"/>
      <c r="T143" s="225"/>
      <c r="U143" s="225"/>
      <c r="V143" s="225"/>
      <c r="W143" s="6"/>
      <c r="X143" s="6"/>
      <c r="Y143" s="6"/>
      <c r="Z143" s="6"/>
      <c r="AA143" s="6"/>
      <c r="AB143" s="6"/>
      <c r="AC143" s="6"/>
      <c r="AD143" s="6"/>
      <c r="AE143" s="6"/>
      <c r="AF143" s="6"/>
      <c r="AG143" s="6"/>
      <c r="AH143" s="6"/>
      <c r="AI143" s="6"/>
      <c r="AJ143" s="226"/>
      <c r="AK143" s="226"/>
      <c r="AL143" s="226"/>
      <c r="AM143" s="226"/>
      <c r="AN143" s="226"/>
      <c r="AO143" s="226"/>
      <c r="AP143" s="226"/>
      <c r="AQ143" s="226"/>
      <c r="AR143" s="226"/>
      <c r="AS143" s="226"/>
      <c r="AT143" s="232"/>
      <c r="AU143" s="232"/>
    </row>
    <row r="144" spans="1:75" ht="12" customHeight="1" outlineLevel="1" x14ac:dyDescent="0.35">
      <c r="A144" s="5"/>
      <c r="B144" s="5"/>
      <c r="C144" s="5"/>
      <c r="D144" s="5"/>
      <c r="E144" s="5"/>
      <c r="F144" s="5"/>
      <c r="G144" s="5"/>
      <c r="H144" s="5"/>
      <c r="I144" s="5"/>
      <c r="J144" s="5"/>
      <c r="K144" s="5"/>
      <c r="L144" s="5"/>
      <c r="M144" s="5"/>
      <c r="N144" s="5"/>
      <c r="O144" s="5"/>
      <c r="P144" s="5"/>
      <c r="Q144" s="5"/>
      <c r="R144" s="5"/>
      <c r="S144" s="5"/>
      <c r="T144" s="5"/>
      <c r="U144" s="5"/>
      <c r="V144" s="5"/>
      <c r="AJ144" s="13"/>
      <c r="AK144" s="13"/>
      <c r="AL144" s="13"/>
      <c r="AM144" s="13"/>
      <c r="AN144" s="13"/>
      <c r="AO144" s="13"/>
      <c r="AP144" s="13"/>
      <c r="AQ144" s="13"/>
      <c r="AR144" s="13"/>
      <c r="AS144" s="13"/>
      <c r="AT144" s="3"/>
      <c r="AU144" s="3"/>
    </row>
    <row r="145" spans="1:78" ht="12" customHeight="1" outlineLevel="1" x14ac:dyDescent="0.35">
      <c r="A145" s="5"/>
      <c r="B145" s="5"/>
      <c r="C145" s="5"/>
      <c r="D145" s="5"/>
      <c r="E145" s="5"/>
      <c r="F145" s="5"/>
      <c r="G145" s="5"/>
      <c r="H145" s="5"/>
      <c r="I145" s="5"/>
      <c r="J145" s="5"/>
      <c r="K145" s="5"/>
      <c r="L145" s="5"/>
      <c r="M145" s="5"/>
      <c r="N145" s="5"/>
      <c r="O145" s="5"/>
      <c r="P145" s="5"/>
      <c r="Q145" s="5"/>
      <c r="R145" s="5"/>
      <c r="S145" s="5"/>
      <c r="T145" s="5"/>
      <c r="U145" s="5"/>
      <c r="V145" s="5"/>
      <c r="Y145" s="227" t="str">
        <f>BM$7</f>
        <v>Kentucky</v>
      </c>
      <c r="Z145" s="227"/>
      <c r="AA145" s="227"/>
      <c r="AB145" s="227"/>
      <c r="AC145" s="227"/>
      <c r="AD145" s="227"/>
      <c r="AE145" s="14"/>
      <c r="AF145" s="14"/>
      <c r="AG145" s="227" t="s">
        <v>3</v>
      </c>
      <c r="AH145" s="227"/>
      <c r="AI145" s="227"/>
      <c r="AJ145" s="227"/>
      <c r="AK145" s="227"/>
      <c r="AL145" s="227"/>
      <c r="AM145" s="14"/>
      <c r="AN145" s="14"/>
      <c r="AO145" s="227" t="s">
        <v>4</v>
      </c>
      <c r="AP145" s="227"/>
      <c r="AQ145" s="227"/>
      <c r="AR145" s="227"/>
      <c r="AS145" s="227"/>
      <c r="AT145" s="227"/>
    </row>
    <row r="146" spans="1:78" ht="12.75" customHeight="1" outlineLevel="1" x14ac:dyDescent="0.35">
      <c r="Y146" s="228"/>
      <c r="Z146" s="228"/>
      <c r="AA146" s="228"/>
      <c r="AB146" s="228"/>
      <c r="AC146" s="228"/>
      <c r="AD146" s="228"/>
      <c r="AE146" s="15"/>
      <c r="AF146" s="15"/>
      <c r="AG146" s="228"/>
      <c r="AH146" s="228"/>
      <c r="AI146" s="228"/>
      <c r="AJ146" s="228"/>
      <c r="AK146" s="228"/>
      <c r="AL146" s="228"/>
      <c r="AM146" s="15"/>
      <c r="AN146" s="15"/>
      <c r="AO146" s="228"/>
      <c r="AP146" s="228"/>
      <c r="AQ146" s="228"/>
      <c r="AR146" s="228"/>
      <c r="AS146" s="228"/>
      <c r="AT146" s="228"/>
    </row>
    <row r="147" spans="1:78" ht="12" customHeight="1" outlineLevel="1" x14ac:dyDescent="0.35">
      <c r="C147" s="219" t="s">
        <v>793</v>
      </c>
      <c r="D147" s="219"/>
      <c r="E147" s="219"/>
      <c r="F147" s="219"/>
      <c r="G147" s="219"/>
      <c r="H147" s="219"/>
      <c r="I147" s="219"/>
      <c r="J147" s="219"/>
      <c r="K147" s="219"/>
      <c r="L147" s="219"/>
      <c r="M147" s="219"/>
      <c r="N147" s="219"/>
      <c r="O147" s="219"/>
      <c r="P147" s="219"/>
      <c r="Q147" s="219"/>
      <c r="R147" s="219"/>
      <c r="S147" s="219"/>
      <c r="T147" s="219"/>
      <c r="U147" s="219"/>
      <c r="V147" s="219"/>
      <c r="W147" s="10"/>
      <c r="X147" s="10"/>
      <c r="Y147" s="230">
        <f>VLOOKUP('State Detail'!BM$7,RawData[[#All],[State]:[Opportunity to leverage existing policies and initiatives]],33,FALSE)</f>
        <v>44373</v>
      </c>
      <c r="Z147" s="230"/>
      <c r="AA147" s="230"/>
      <c r="AB147" s="230"/>
      <c r="AC147" s="230"/>
      <c r="AD147" s="230"/>
      <c r="AE147" s="9"/>
      <c r="AF147" s="9"/>
      <c r="AG147" s="230">
        <f>'Raw Data'!AG53</f>
        <v>88710.306122448979</v>
      </c>
      <c r="AH147" s="230"/>
      <c r="AI147" s="230"/>
      <c r="AJ147" s="230"/>
      <c r="AK147" s="230"/>
      <c r="AL147" s="230"/>
      <c r="AM147" s="9"/>
      <c r="AN147" s="9"/>
      <c r="AO147" s="214">
        <f>VLOOKUP('State Detail'!BM$7,'Int Data - Case 3'!A1:W55,3,FALSE)</f>
        <v>29</v>
      </c>
      <c r="AP147" s="214"/>
      <c r="AQ147" s="214"/>
      <c r="AR147" s="214"/>
      <c r="AS147" s="214"/>
      <c r="AT147" s="214"/>
    </row>
    <row r="148" spans="1:78" ht="12" customHeight="1" outlineLevel="1" x14ac:dyDescent="0.35">
      <c r="C148" s="219"/>
      <c r="D148" s="219"/>
      <c r="E148" s="219"/>
      <c r="F148" s="219"/>
      <c r="G148" s="219"/>
      <c r="H148" s="219"/>
      <c r="I148" s="219"/>
      <c r="J148" s="219"/>
      <c r="K148" s="219"/>
      <c r="L148" s="219"/>
      <c r="M148" s="219"/>
      <c r="N148" s="219"/>
      <c r="O148" s="219"/>
      <c r="P148" s="219"/>
      <c r="Q148" s="219"/>
      <c r="R148" s="219"/>
      <c r="S148" s="219"/>
      <c r="T148" s="219"/>
      <c r="U148" s="219"/>
      <c r="V148" s="219"/>
      <c r="W148" s="10"/>
      <c r="X148" s="10"/>
      <c r="Y148" s="230"/>
      <c r="Z148" s="230"/>
      <c r="AA148" s="230"/>
      <c r="AB148" s="230"/>
      <c r="AC148" s="230"/>
      <c r="AD148" s="230"/>
      <c r="AE148" s="9"/>
      <c r="AF148" s="9"/>
      <c r="AG148" s="230"/>
      <c r="AH148" s="230"/>
      <c r="AI148" s="230"/>
      <c r="AJ148" s="230"/>
      <c r="AK148" s="230"/>
      <c r="AL148" s="230"/>
      <c r="AM148" s="9"/>
      <c r="AN148" s="9"/>
      <c r="AO148" s="214"/>
      <c r="AP148" s="214"/>
      <c r="AQ148" s="214"/>
      <c r="AR148" s="214"/>
      <c r="AS148" s="214"/>
      <c r="AT148" s="214"/>
    </row>
    <row r="149" spans="1:78" ht="12" customHeight="1" outlineLevel="1" x14ac:dyDescent="0.35">
      <c r="C149" s="4"/>
      <c r="D149" s="4"/>
      <c r="E149" s="4"/>
      <c r="F149" s="4"/>
      <c r="G149" s="4"/>
      <c r="H149" s="4"/>
      <c r="I149" s="4"/>
      <c r="J149" s="4"/>
      <c r="K149" s="4"/>
      <c r="L149" s="4"/>
      <c r="M149" s="4"/>
      <c r="N149" s="4"/>
      <c r="O149" s="4"/>
      <c r="P149" s="4"/>
      <c r="Q149" s="4"/>
      <c r="R149" s="4"/>
      <c r="S149" s="4"/>
      <c r="T149" s="4"/>
      <c r="U149" s="4"/>
      <c r="V149" s="4"/>
      <c r="Z149" s="8"/>
      <c r="AA149" s="8"/>
      <c r="AB149" s="8"/>
      <c r="AC149" s="8"/>
      <c r="AD149" s="8"/>
      <c r="AE149" s="8"/>
      <c r="AF149" s="8"/>
      <c r="AG149" s="8"/>
      <c r="AH149" s="8"/>
      <c r="AI149" s="8"/>
      <c r="AJ149" s="8"/>
      <c r="AK149" s="8"/>
      <c r="AL149" s="8"/>
      <c r="AM149" s="8"/>
      <c r="AN149" s="8"/>
      <c r="AO149" s="8"/>
      <c r="AP149" s="8"/>
      <c r="AQ149" s="8"/>
    </row>
    <row r="150" spans="1:78" ht="12" customHeight="1" outlineLevel="1" x14ac:dyDescent="0.35">
      <c r="Z150" s="8"/>
      <c r="AA150" s="8"/>
      <c r="AB150" s="8"/>
      <c r="AC150" s="8"/>
      <c r="AD150" s="8"/>
      <c r="AE150" s="8"/>
      <c r="AF150" s="8"/>
      <c r="AG150" s="8"/>
      <c r="AH150" s="8"/>
      <c r="AI150" s="8"/>
      <c r="AJ150" s="8"/>
      <c r="AK150" s="8"/>
      <c r="AL150" s="8"/>
      <c r="AM150" s="8"/>
      <c r="AN150" s="8"/>
      <c r="AO150" s="8"/>
      <c r="AP150" s="8"/>
      <c r="AQ150" s="8"/>
    </row>
    <row r="151" spans="1:78" ht="12" customHeight="1" outlineLevel="1" x14ac:dyDescent="0.35">
      <c r="C151" s="219" t="s">
        <v>794</v>
      </c>
      <c r="D151" s="219"/>
      <c r="E151" s="219"/>
      <c r="F151" s="219"/>
      <c r="G151" s="219"/>
      <c r="H151" s="219"/>
      <c r="I151" s="219"/>
      <c r="J151" s="219"/>
      <c r="K151" s="219"/>
      <c r="L151" s="219"/>
      <c r="M151" s="219"/>
      <c r="N151" s="219"/>
      <c r="O151" s="219"/>
      <c r="P151" s="219"/>
      <c r="Q151" s="219"/>
      <c r="R151" s="219"/>
      <c r="S151" s="219"/>
      <c r="T151" s="219"/>
      <c r="U151" s="219"/>
      <c r="V151" s="219"/>
      <c r="W151" s="10"/>
      <c r="X151" s="10"/>
      <c r="Y151" s="230">
        <f>VLOOKUP('State Detail'!BM$7,RawData[[#All],[State]:[Opportunity to leverage existing policies and initiatives]],34,FALSE)</f>
        <v>41171</v>
      </c>
      <c r="Z151" s="230"/>
      <c r="AA151" s="230"/>
      <c r="AB151" s="230"/>
      <c r="AC151" s="230"/>
      <c r="AD151" s="230"/>
      <c r="AE151" s="9"/>
      <c r="AF151" s="9"/>
      <c r="AG151" s="230">
        <f>'Raw Data'!AH53</f>
        <v>76457.795918367352</v>
      </c>
      <c r="AH151" s="214"/>
      <c r="AI151" s="214"/>
      <c r="AJ151" s="214"/>
      <c r="AK151" s="214"/>
      <c r="AL151" s="214"/>
      <c r="AM151" s="9"/>
      <c r="AN151" s="9"/>
      <c r="AO151" s="214">
        <f>VLOOKUP('State Detail'!BM$7,'Int Data - Case 3'!A1:W55,4,FALSE)</f>
        <v>28</v>
      </c>
      <c r="AP151" s="214"/>
      <c r="AQ151" s="214"/>
      <c r="AR151" s="214"/>
      <c r="AS151" s="214"/>
      <c r="AT151" s="214"/>
    </row>
    <row r="152" spans="1:78" ht="12" customHeight="1" outlineLevel="1" x14ac:dyDescent="0.35">
      <c r="C152" s="219"/>
      <c r="D152" s="219"/>
      <c r="E152" s="219"/>
      <c r="F152" s="219"/>
      <c r="G152" s="219"/>
      <c r="H152" s="219"/>
      <c r="I152" s="219"/>
      <c r="J152" s="219"/>
      <c r="K152" s="219"/>
      <c r="L152" s="219"/>
      <c r="M152" s="219"/>
      <c r="N152" s="219"/>
      <c r="O152" s="219"/>
      <c r="P152" s="219"/>
      <c r="Q152" s="219"/>
      <c r="R152" s="219"/>
      <c r="S152" s="219"/>
      <c r="T152" s="219"/>
      <c r="U152" s="219"/>
      <c r="V152" s="219"/>
      <c r="W152" s="10"/>
      <c r="X152" s="10"/>
      <c r="Y152" s="230"/>
      <c r="Z152" s="230"/>
      <c r="AA152" s="230"/>
      <c r="AB152" s="230"/>
      <c r="AC152" s="230"/>
      <c r="AD152" s="230"/>
      <c r="AE152" s="9"/>
      <c r="AF152" s="9"/>
      <c r="AG152" s="214"/>
      <c r="AH152" s="214"/>
      <c r="AI152" s="214"/>
      <c r="AJ152" s="214"/>
      <c r="AK152" s="214"/>
      <c r="AL152" s="214"/>
      <c r="AM152" s="9"/>
      <c r="AN152" s="9"/>
      <c r="AO152" s="214"/>
      <c r="AP152" s="214"/>
      <c r="AQ152" s="214"/>
      <c r="AR152" s="214"/>
      <c r="AS152" s="214"/>
      <c r="AT152" s="214"/>
    </row>
    <row r="153" spans="1:78" ht="12" customHeight="1" outlineLevel="1" x14ac:dyDescent="0.35">
      <c r="J153" s="2"/>
      <c r="K153" s="2"/>
      <c r="L153" s="2"/>
      <c r="Z153" s="8"/>
      <c r="AA153" s="8"/>
      <c r="AB153" s="8"/>
      <c r="AC153" s="8"/>
      <c r="AD153" s="8"/>
      <c r="AE153" s="8"/>
      <c r="AF153" s="8"/>
      <c r="AG153" s="8"/>
      <c r="AH153" s="8"/>
      <c r="AI153" s="8"/>
      <c r="AJ153" s="8"/>
      <c r="AK153" s="8"/>
      <c r="AL153" s="8"/>
      <c r="AM153" s="8"/>
      <c r="AN153" s="8"/>
      <c r="AO153" s="8"/>
      <c r="AP153" s="8"/>
      <c r="AQ153" s="8"/>
    </row>
    <row r="154" spans="1:78" ht="12" customHeight="1" outlineLevel="1" x14ac:dyDescent="0.35">
      <c r="Z154" s="8"/>
      <c r="AA154" s="8"/>
      <c r="AB154" s="8"/>
      <c r="AC154" s="8"/>
      <c r="AD154" s="8"/>
      <c r="AE154" s="8"/>
      <c r="AF154" s="8"/>
      <c r="AG154" s="8"/>
      <c r="AH154" s="8"/>
      <c r="AI154" s="8"/>
      <c r="AJ154" s="8"/>
      <c r="AK154" s="8"/>
      <c r="AL154" s="8"/>
      <c r="AM154" s="8"/>
      <c r="AN154" s="8"/>
      <c r="AO154" s="8"/>
      <c r="AP154" s="8"/>
      <c r="AQ154" s="8"/>
    </row>
    <row r="155" spans="1:78" ht="12" customHeight="1" outlineLevel="1" x14ac:dyDescent="0.35">
      <c r="C155" s="217" t="s">
        <v>795</v>
      </c>
      <c r="D155" s="217"/>
      <c r="E155" s="217"/>
      <c r="F155" s="217"/>
      <c r="G155" s="217"/>
      <c r="H155" s="217"/>
      <c r="I155" s="217"/>
      <c r="J155" s="217"/>
      <c r="K155" s="217"/>
      <c r="L155" s="217"/>
      <c r="M155" s="217"/>
      <c r="N155" s="217"/>
      <c r="O155" s="217"/>
      <c r="P155" s="217"/>
      <c r="Q155" s="217"/>
      <c r="R155" s="217"/>
      <c r="S155" s="217"/>
      <c r="T155" s="217"/>
      <c r="U155" s="217"/>
      <c r="V155" s="217"/>
      <c r="W155" s="10"/>
      <c r="X155" s="10"/>
      <c r="Y155" s="221">
        <f>VLOOKUP('State Detail'!BM$7,RawData[[#All],[State]:[Opportunity to leverage existing policies and initiatives]],36,FALSE)</f>
        <v>-7.2160996496677399E-2</v>
      </c>
      <c r="Z155" s="221"/>
      <c r="AA155" s="221"/>
      <c r="AB155" s="221"/>
      <c r="AC155" s="221"/>
      <c r="AD155" s="221"/>
      <c r="AE155" s="202"/>
      <c r="AF155" s="202"/>
      <c r="AG155" s="221">
        <f>'Raw Data'!AJ53</f>
        <v>-0.11426797977680828</v>
      </c>
      <c r="AH155" s="221"/>
      <c r="AI155" s="221"/>
      <c r="AJ155" s="221"/>
      <c r="AK155" s="221"/>
      <c r="AL155" s="221"/>
      <c r="AM155" s="9"/>
      <c r="AN155" s="9"/>
      <c r="AO155" s="214">
        <f>VLOOKUP('State Detail'!BM$7,'Int Data - Case 3'!A1:W55,5,FALSE)</f>
        <v>40</v>
      </c>
      <c r="AP155" s="214"/>
      <c r="AQ155" s="214"/>
      <c r="AR155" s="214"/>
      <c r="AS155" s="214"/>
      <c r="AT155" s="214"/>
    </row>
    <row r="156" spans="1:78" ht="12" customHeight="1" outlineLevel="1" x14ac:dyDescent="0.35">
      <c r="C156" s="217"/>
      <c r="D156" s="217"/>
      <c r="E156" s="217"/>
      <c r="F156" s="217"/>
      <c r="G156" s="217"/>
      <c r="H156" s="217"/>
      <c r="I156" s="217"/>
      <c r="J156" s="217"/>
      <c r="K156" s="217"/>
      <c r="L156" s="217"/>
      <c r="M156" s="217"/>
      <c r="N156" s="217"/>
      <c r="O156" s="217"/>
      <c r="P156" s="217"/>
      <c r="Q156" s="217"/>
      <c r="R156" s="217"/>
      <c r="S156" s="217"/>
      <c r="T156" s="217"/>
      <c r="U156" s="217"/>
      <c r="V156" s="217"/>
      <c r="W156" s="10"/>
      <c r="X156" s="10"/>
      <c r="Y156" s="221"/>
      <c r="Z156" s="221"/>
      <c r="AA156" s="221"/>
      <c r="AB156" s="221"/>
      <c r="AC156" s="221"/>
      <c r="AD156" s="221"/>
      <c r="AE156" s="202"/>
      <c r="AF156" s="202"/>
      <c r="AG156" s="221"/>
      <c r="AH156" s="221"/>
      <c r="AI156" s="221"/>
      <c r="AJ156" s="221"/>
      <c r="AK156" s="221"/>
      <c r="AL156" s="221"/>
      <c r="AM156" s="9"/>
      <c r="AN156" s="9"/>
      <c r="AO156" s="214"/>
      <c r="AP156" s="214"/>
      <c r="AQ156" s="214"/>
      <c r="AR156" s="214"/>
      <c r="AS156" s="214"/>
      <c r="AT156" s="214"/>
    </row>
    <row r="157" spans="1:78" ht="12" customHeight="1" outlineLevel="1" x14ac:dyDescent="0.35">
      <c r="Z157" s="8"/>
      <c r="AA157" s="8"/>
      <c r="AB157" s="8"/>
      <c r="AC157" s="8"/>
      <c r="AD157" s="8"/>
      <c r="AE157" s="8"/>
      <c r="AF157" s="8"/>
      <c r="AG157" s="8"/>
      <c r="AH157" s="8"/>
      <c r="AI157" s="8"/>
      <c r="AJ157" s="8"/>
      <c r="AK157" s="8"/>
      <c r="AL157" s="8"/>
      <c r="AM157" s="8"/>
      <c r="AN157" s="8"/>
      <c r="AO157" s="8"/>
      <c r="AP157" s="8"/>
      <c r="AQ157" s="8"/>
      <c r="BE157" s="11"/>
      <c r="BF157" s="7"/>
      <c r="BG157" s="7"/>
      <c r="BH157" s="7"/>
      <c r="BI157" s="7"/>
      <c r="BJ157" s="7"/>
      <c r="BK157" s="7"/>
      <c r="BL157" s="7"/>
      <c r="BM157" s="11"/>
      <c r="BN157" s="7"/>
      <c r="BO157" s="7"/>
      <c r="BP157" s="7"/>
      <c r="BQ157" s="7"/>
      <c r="BR157" s="7"/>
      <c r="BS157" s="7"/>
      <c r="BT157" s="7"/>
      <c r="BU157" s="7"/>
      <c r="BV157" s="7"/>
      <c r="BW157" s="7"/>
      <c r="BX157" s="7"/>
      <c r="BY157" s="7"/>
      <c r="BZ157" s="7"/>
    </row>
    <row r="158" spans="1:78" ht="12" customHeight="1" outlineLevel="1" x14ac:dyDescent="0.35">
      <c r="Y158" s="7"/>
      <c r="Z158" s="7"/>
      <c r="AA158" s="7"/>
      <c r="AB158" s="7"/>
      <c r="AC158" s="7"/>
      <c r="AD158" s="7"/>
      <c r="AG158" s="7"/>
      <c r="AH158" s="7"/>
      <c r="AI158" s="7"/>
      <c r="AJ158" s="7"/>
      <c r="AK158" s="7"/>
      <c r="AL158" s="7"/>
      <c r="AO158" s="7"/>
      <c r="AP158" s="7"/>
      <c r="AQ158" s="7"/>
      <c r="AR158" s="7"/>
      <c r="AS158" s="7"/>
      <c r="AT158" s="7"/>
      <c r="BE158" s="7"/>
      <c r="BF158" s="7"/>
      <c r="BG158" s="7"/>
      <c r="BH158" s="7"/>
      <c r="BI158" s="7"/>
      <c r="BJ158" s="7"/>
      <c r="BK158" s="7"/>
      <c r="BL158" s="7"/>
      <c r="BM158" s="7"/>
      <c r="BN158" s="7"/>
      <c r="BO158" s="7"/>
      <c r="BP158" s="7"/>
      <c r="BQ158" s="7"/>
      <c r="BR158" s="7"/>
      <c r="BS158" s="7"/>
      <c r="BT158" s="7"/>
      <c r="BU158" s="7"/>
      <c r="BV158" s="7"/>
      <c r="BW158" s="7"/>
      <c r="BX158" s="7"/>
      <c r="BY158" s="7"/>
      <c r="BZ158" s="7"/>
    </row>
    <row r="159" spans="1:78" ht="12" customHeight="1" outlineLevel="1" x14ac:dyDescent="0.35">
      <c r="A159" s="225" t="s">
        <v>10</v>
      </c>
      <c r="B159" s="225"/>
      <c r="C159" s="225"/>
      <c r="D159" s="225"/>
      <c r="E159" s="225"/>
      <c r="F159" s="225"/>
      <c r="G159" s="225"/>
      <c r="H159" s="225"/>
      <c r="I159" s="225"/>
      <c r="J159" s="225"/>
      <c r="K159" s="225"/>
      <c r="L159" s="225"/>
      <c r="M159" s="225"/>
      <c r="N159" s="225"/>
      <c r="O159" s="225"/>
      <c r="P159" s="225"/>
      <c r="Q159" s="225"/>
      <c r="R159" s="225"/>
      <c r="S159" s="225"/>
      <c r="T159" s="225"/>
      <c r="U159" s="225"/>
      <c r="V159" s="225"/>
      <c r="W159" s="225"/>
      <c r="X159" s="225"/>
      <c r="Y159" s="225"/>
      <c r="Z159" s="225"/>
      <c r="AA159" s="225"/>
      <c r="AB159" s="225"/>
      <c r="AC159" s="225"/>
      <c r="AD159" s="225"/>
      <c r="AE159" s="6"/>
      <c r="AF159" s="6"/>
      <c r="AG159" s="6"/>
      <c r="AH159" s="6"/>
      <c r="AI159" s="6"/>
      <c r="AJ159" s="226" t="s">
        <v>5</v>
      </c>
      <c r="AK159" s="226"/>
      <c r="AL159" s="226"/>
      <c r="AM159" s="226"/>
      <c r="AN159" s="226"/>
      <c r="AO159" s="226"/>
      <c r="AP159" s="226"/>
      <c r="AQ159" s="226"/>
      <c r="AR159" s="226"/>
      <c r="AS159" s="226"/>
      <c r="AT159" s="232">
        <f>VLOOKUP('State Detail'!BM$7,'Int Data - Case 3'!A1:Y55,11,FALSE)</f>
        <v>9.6666666666666643</v>
      </c>
      <c r="AU159" s="232"/>
    </row>
    <row r="160" spans="1:78" ht="12" customHeight="1" outlineLevel="1" x14ac:dyDescent="0.35">
      <c r="A160" s="225"/>
      <c r="B160" s="225"/>
      <c r="C160" s="225"/>
      <c r="D160" s="225"/>
      <c r="E160" s="225"/>
      <c r="F160" s="225"/>
      <c r="G160" s="225"/>
      <c r="H160" s="225"/>
      <c r="I160" s="225"/>
      <c r="J160" s="225"/>
      <c r="K160" s="225"/>
      <c r="L160" s="225"/>
      <c r="M160" s="225"/>
      <c r="N160" s="225"/>
      <c r="O160" s="225"/>
      <c r="P160" s="225"/>
      <c r="Q160" s="225"/>
      <c r="R160" s="225"/>
      <c r="S160" s="225"/>
      <c r="T160" s="225"/>
      <c r="U160" s="225"/>
      <c r="V160" s="225"/>
      <c r="W160" s="225"/>
      <c r="X160" s="225"/>
      <c r="Y160" s="225"/>
      <c r="Z160" s="225"/>
      <c r="AA160" s="225"/>
      <c r="AB160" s="225"/>
      <c r="AC160" s="225"/>
      <c r="AD160" s="225"/>
      <c r="AE160" s="6"/>
      <c r="AF160" s="6"/>
      <c r="AG160" s="6"/>
      <c r="AH160" s="6"/>
      <c r="AI160" s="6"/>
      <c r="AJ160" s="226"/>
      <c r="AK160" s="226"/>
      <c r="AL160" s="226"/>
      <c r="AM160" s="226"/>
      <c r="AN160" s="226"/>
      <c r="AO160" s="226"/>
      <c r="AP160" s="226"/>
      <c r="AQ160" s="226"/>
      <c r="AR160" s="226"/>
      <c r="AS160" s="226"/>
      <c r="AT160" s="232"/>
      <c r="AU160" s="232"/>
    </row>
    <row r="161" spans="1:75" ht="12" customHeight="1" outlineLevel="1" x14ac:dyDescent="0.35">
      <c r="A161" s="5"/>
      <c r="B161" s="5"/>
      <c r="C161" s="5"/>
      <c r="D161" s="5"/>
      <c r="E161" s="5"/>
      <c r="F161" s="5"/>
      <c r="G161" s="5"/>
      <c r="H161" s="5"/>
      <c r="I161" s="5"/>
      <c r="J161" s="5"/>
      <c r="K161" s="5"/>
      <c r="L161" s="5"/>
      <c r="M161" s="5"/>
      <c r="N161" s="5"/>
      <c r="O161" s="5"/>
      <c r="P161" s="5"/>
      <c r="Q161" s="5"/>
      <c r="R161" s="5"/>
      <c r="S161" s="5"/>
      <c r="T161" s="5"/>
      <c r="U161" s="5"/>
      <c r="V161" s="5"/>
      <c r="AJ161" s="13"/>
      <c r="AK161" s="13"/>
      <c r="AL161" s="13"/>
      <c r="AM161" s="13"/>
      <c r="AN161" s="13"/>
      <c r="AO161" s="13"/>
      <c r="AP161" s="13"/>
      <c r="AQ161" s="13"/>
      <c r="AR161" s="13"/>
      <c r="AS161" s="13"/>
      <c r="AT161" s="3"/>
      <c r="AU161" s="3"/>
    </row>
    <row r="162" spans="1:75" ht="12" customHeight="1" outlineLevel="1" x14ac:dyDescent="0.35">
      <c r="A162" s="5"/>
      <c r="B162" s="5"/>
      <c r="C162" s="5"/>
      <c r="D162" s="5"/>
      <c r="E162" s="5"/>
      <c r="F162" s="5"/>
      <c r="G162" s="5"/>
      <c r="H162" s="5"/>
      <c r="I162" s="5"/>
      <c r="J162" s="5"/>
      <c r="K162" s="5"/>
      <c r="L162" s="5"/>
      <c r="M162" s="5"/>
      <c r="N162" s="5"/>
      <c r="O162" s="5"/>
      <c r="P162" s="5"/>
      <c r="Q162" s="5"/>
      <c r="R162" s="5"/>
      <c r="S162" s="5"/>
      <c r="T162" s="5"/>
      <c r="U162" s="5"/>
      <c r="V162" s="5"/>
      <c r="Y162" s="227" t="str">
        <f>BM$7</f>
        <v>Kentucky</v>
      </c>
      <c r="Z162" s="227"/>
      <c r="AA162" s="227"/>
      <c r="AB162" s="227"/>
      <c r="AC162" s="227"/>
      <c r="AD162" s="227"/>
      <c r="AE162" s="14"/>
      <c r="AF162" s="14"/>
      <c r="AG162" s="227" t="s">
        <v>3</v>
      </c>
      <c r="AH162" s="227"/>
      <c r="AI162" s="227"/>
      <c r="AJ162" s="227"/>
      <c r="AK162" s="227"/>
      <c r="AL162" s="227"/>
      <c r="AM162" s="14"/>
      <c r="AN162" s="14"/>
      <c r="AO162" s="227" t="s">
        <v>4</v>
      </c>
      <c r="AP162" s="227"/>
      <c r="AQ162" s="227"/>
      <c r="AR162" s="227"/>
      <c r="AS162" s="227"/>
      <c r="AT162" s="227"/>
    </row>
    <row r="163" spans="1:75" ht="12.75" customHeight="1" outlineLevel="1" x14ac:dyDescent="0.35">
      <c r="Y163" s="228"/>
      <c r="Z163" s="228"/>
      <c r="AA163" s="228"/>
      <c r="AB163" s="228"/>
      <c r="AC163" s="228"/>
      <c r="AD163" s="228"/>
      <c r="AE163" s="15"/>
      <c r="AF163" s="15"/>
      <c r="AG163" s="228"/>
      <c r="AH163" s="228"/>
      <c r="AI163" s="228"/>
      <c r="AJ163" s="228"/>
      <c r="AK163" s="228"/>
      <c r="AL163" s="228"/>
      <c r="AM163" s="15"/>
      <c r="AN163" s="15"/>
      <c r="AO163" s="228"/>
      <c r="AP163" s="228"/>
      <c r="AQ163" s="228"/>
      <c r="AR163" s="228"/>
      <c r="AS163" s="228"/>
      <c r="AT163" s="228"/>
    </row>
    <row r="164" spans="1:75" ht="12" customHeight="1" outlineLevel="1" x14ac:dyDescent="0.35">
      <c r="C164" s="219" t="s">
        <v>762</v>
      </c>
      <c r="D164" s="219"/>
      <c r="E164" s="219"/>
      <c r="F164" s="219"/>
      <c r="G164" s="219"/>
      <c r="H164" s="219"/>
      <c r="I164" s="219"/>
      <c r="J164" s="219"/>
      <c r="K164" s="219"/>
      <c r="L164" s="219"/>
      <c r="M164" s="219"/>
      <c r="N164" s="219"/>
      <c r="O164" s="219"/>
      <c r="P164" s="219"/>
      <c r="Q164" s="219"/>
      <c r="R164" s="219"/>
      <c r="S164" s="219"/>
      <c r="T164" s="219"/>
      <c r="U164" s="219"/>
      <c r="V164" s="219"/>
      <c r="W164" s="10"/>
      <c r="X164" s="10"/>
      <c r="Y164" s="221">
        <f>VLOOKUP('State Detail'!BM$7,RawData[[#All],[State]:[Opportunity to leverage existing policies and initiatives]],41,FALSE)</f>
        <v>0.41750577092170715</v>
      </c>
      <c r="Z164" s="221"/>
      <c r="AA164" s="221"/>
      <c r="AB164" s="221"/>
      <c r="AC164" s="221"/>
      <c r="AD164" s="221"/>
      <c r="AE164" s="202"/>
      <c r="AF164" s="202"/>
      <c r="AG164" s="221">
        <f>'Raw Data'!AO53</f>
        <v>0.31177431770733427</v>
      </c>
      <c r="AH164" s="221"/>
      <c r="AI164" s="221"/>
      <c r="AJ164" s="221"/>
      <c r="AK164" s="221"/>
      <c r="AL164" s="221"/>
      <c r="AM164" s="9"/>
      <c r="AN164" s="9"/>
      <c r="AO164" s="214">
        <f>VLOOKUP('State Detail'!BM$7,'Int Data - Case 3'!A1:W55,6,FALSE)</f>
        <v>47</v>
      </c>
      <c r="AP164" s="214"/>
      <c r="AQ164" s="214"/>
      <c r="AR164" s="214"/>
      <c r="AS164" s="214"/>
      <c r="AT164" s="214"/>
    </row>
    <row r="165" spans="1:75" ht="12" customHeight="1" outlineLevel="1" x14ac:dyDescent="0.35">
      <c r="C165" s="219"/>
      <c r="D165" s="219"/>
      <c r="E165" s="219"/>
      <c r="F165" s="219"/>
      <c r="G165" s="219"/>
      <c r="H165" s="219"/>
      <c r="I165" s="219"/>
      <c r="J165" s="219"/>
      <c r="K165" s="219"/>
      <c r="L165" s="219"/>
      <c r="M165" s="219"/>
      <c r="N165" s="219"/>
      <c r="O165" s="219"/>
      <c r="P165" s="219"/>
      <c r="Q165" s="219"/>
      <c r="R165" s="219"/>
      <c r="S165" s="219"/>
      <c r="T165" s="219"/>
      <c r="U165" s="219"/>
      <c r="V165" s="219"/>
      <c r="W165" s="10"/>
      <c r="X165" s="10"/>
      <c r="Y165" s="221"/>
      <c r="Z165" s="221"/>
      <c r="AA165" s="221"/>
      <c r="AB165" s="221"/>
      <c r="AC165" s="221"/>
      <c r="AD165" s="221"/>
      <c r="AE165" s="202"/>
      <c r="AF165" s="202"/>
      <c r="AG165" s="221"/>
      <c r="AH165" s="221"/>
      <c r="AI165" s="221"/>
      <c r="AJ165" s="221"/>
      <c r="AK165" s="221"/>
      <c r="AL165" s="221"/>
      <c r="AM165" s="9"/>
      <c r="AN165" s="9"/>
      <c r="AO165" s="214"/>
      <c r="AP165" s="214"/>
      <c r="AQ165" s="214"/>
      <c r="AR165" s="214"/>
      <c r="AS165" s="214"/>
      <c r="AT165" s="214"/>
    </row>
    <row r="166" spans="1:75" ht="12" customHeight="1" outlineLevel="1" x14ac:dyDescent="0.35">
      <c r="C166" s="4"/>
      <c r="D166" s="4"/>
      <c r="E166" s="4"/>
      <c r="F166" s="4"/>
      <c r="G166" s="4"/>
      <c r="H166" s="4"/>
      <c r="I166" s="4"/>
      <c r="J166" s="4"/>
      <c r="K166" s="4"/>
      <c r="L166" s="4"/>
      <c r="M166" s="4"/>
      <c r="N166" s="4"/>
      <c r="O166" s="4"/>
      <c r="P166" s="4"/>
      <c r="Q166" s="4"/>
      <c r="R166" s="4"/>
      <c r="S166" s="4"/>
      <c r="T166" s="4"/>
      <c r="U166" s="4"/>
      <c r="V166" s="4"/>
      <c r="Y166" s="2"/>
      <c r="Z166" s="2"/>
      <c r="AA166" s="2"/>
      <c r="AB166" s="2"/>
      <c r="AC166" s="2"/>
      <c r="AD166" s="2"/>
      <c r="AE166" s="2"/>
      <c r="AF166" s="2"/>
      <c r="AG166" s="2"/>
      <c r="AH166" s="2"/>
      <c r="AI166" s="2"/>
      <c r="AJ166" s="2"/>
      <c r="AK166" s="2"/>
      <c r="AL166" s="2"/>
      <c r="AM166" s="8"/>
      <c r="AN166" s="8"/>
      <c r="AO166" s="8"/>
      <c r="AP166" s="8"/>
      <c r="AQ166" s="8"/>
    </row>
    <row r="167" spans="1:75" ht="12" customHeight="1" outlineLevel="1" x14ac:dyDescent="0.35">
      <c r="Y167" s="2"/>
      <c r="Z167" s="2"/>
      <c r="AA167" s="2"/>
      <c r="AB167" s="2"/>
      <c r="AC167" s="2"/>
      <c r="AD167" s="2"/>
      <c r="AE167" s="2"/>
      <c r="AF167" s="2"/>
      <c r="AG167" s="2"/>
      <c r="AH167" s="2"/>
      <c r="AI167" s="2"/>
      <c r="AJ167" s="2"/>
      <c r="AK167" s="2"/>
      <c r="AL167" s="2"/>
      <c r="AM167" s="8"/>
      <c r="AN167" s="8"/>
      <c r="AO167" s="8"/>
      <c r="AP167" s="8"/>
      <c r="AQ167" s="8"/>
    </row>
    <row r="168" spans="1:75" ht="12" customHeight="1" outlineLevel="1" x14ac:dyDescent="0.35">
      <c r="C168" s="219" t="s">
        <v>763</v>
      </c>
      <c r="D168" s="219"/>
      <c r="E168" s="219"/>
      <c r="F168" s="219"/>
      <c r="G168" s="219"/>
      <c r="H168" s="219"/>
      <c r="I168" s="219"/>
      <c r="J168" s="219"/>
      <c r="K168" s="219"/>
      <c r="L168" s="219"/>
      <c r="M168" s="219"/>
      <c r="N168" s="219"/>
      <c r="O168" s="219"/>
      <c r="P168" s="219"/>
      <c r="Q168" s="219"/>
      <c r="R168" s="219"/>
      <c r="S168" s="219"/>
      <c r="T168" s="219"/>
      <c r="U168" s="219"/>
      <c r="V168" s="219"/>
      <c r="W168" s="10"/>
      <c r="X168" s="10"/>
      <c r="Y168" s="221">
        <f>VLOOKUP('State Detail'!BM$7,RawData[[#All],[State]:[Opportunity to leverage existing policies and initiatives]],42,FALSE)</f>
        <v>0.62844163179397583</v>
      </c>
      <c r="Z168" s="221"/>
      <c r="AA168" s="221"/>
      <c r="AB168" s="221"/>
      <c r="AC168" s="221"/>
      <c r="AD168" s="221"/>
      <c r="AE168" s="202"/>
      <c r="AF168" s="202"/>
      <c r="AG168" s="221">
        <f>'Raw Data'!AP53</f>
        <v>0.59525494525829947</v>
      </c>
      <c r="AH168" s="221"/>
      <c r="AI168" s="221"/>
      <c r="AJ168" s="221"/>
      <c r="AK168" s="221"/>
      <c r="AL168" s="221"/>
      <c r="AM168" s="9"/>
      <c r="AN168" s="9"/>
      <c r="AO168" s="214">
        <f>VLOOKUP('State Detail'!BM$7,'Int Data - Case 3'!A1:W55,7,FALSE)</f>
        <v>39</v>
      </c>
      <c r="AP168" s="214"/>
      <c r="AQ168" s="214"/>
      <c r="AR168" s="214"/>
      <c r="AS168" s="214"/>
      <c r="AT168" s="214"/>
    </row>
    <row r="169" spans="1:75" ht="12" customHeight="1" outlineLevel="1" x14ac:dyDescent="0.35">
      <c r="C169" s="219"/>
      <c r="D169" s="219"/>
      <c r="E169" s="219"/>
      <c r="F169" s="219"/>
      <c r="G169" s="219"/>
      <c r="H169" s="219"/>
      <c r="I169" s="219"/>
      <c r="J169" s="219"/>
      <c r="K169" s="219"/>
      <c r="L169" s="219"/>
      <c r="M169" s="219"/>
      <c r="N169" s="219"/>
      <c r="O169" s="219"/>
      <c r="P169" s="219"/>
      <c r="Q169" s="219"/>
      <c r="R169" s="219"/>
      <c r="S169" s="219"/>
      <c r="T169" s="219"/>
      <c r="U169" s="219"/>
      <c r="V169" s="219"/>
      <c r="W169" s="10"/>
      <c r="X169" s="10"/>
      <c r="Y169" s="221"/>
      <c r="Z169" s="221"/>
      <c r="AA169" s="221"/>
      <c r="AB169" s="221"/>
      <c r="AC169" s="221"/>
      <c r="AD169" s="221"/>
      <c r="AE169" s="202"/>
      <c r="AF169" s="202"/>
      <c r="AG169" s="221"/>
      <c r="AH169" s="221"/>
      <c r="AI169" s="221"/>
      <c r="AJ169" s="221"/>
      <c r="AK169" s="221"/>
      <c r="AL169" s="221"/>
      <c r="AM169" s="9"/>
      <c r="AN169" s="9"/>
      <c r="AO169" s="214"/>
      <c r="AP169" s="214"/>
      <c r="AQ169" s="214"/>
      <c r="AR169" s="214"/>
      <c r="AS169" s="214"/>
      <c r="AT169" s="214"/>
    </row>
    <row r="170" spans="1:75" ht="12" customHeight="1" outlineLevel="1" x14ac:dyDescent="0.35">
      <c r="C170" s="18"/>
      <c r="D170" s="18"/>
      <c r="E170" s="18"/>
      <c r="F170" s="18"/>
      <c r="G170" s="18"/>
      <c r="H170" s="18"/>
      <c r="I170" s="18"/>
      <c r="J170" s="18"/>
      <c r="K170" s="18"/>
      <c r="L170" s="18"/>
      <c r="M170" s="18"/>
      <c r="N170" s="18"/>
      <c r="O170" s="18"/>
      <c r="P170" s="18"/>
      <c r="Q170" s="18"/>
      <c r="R170" s="18"/>
      <c r="S170" s="18"/>
      <c r="T170" s="18"/>
      <c r="U170" s="18"/>
      <c r="V170" s="18"/>
      <c r="Y170" s="203"/>
      <c r="Z170" s="203"/>
      <c r="AA170" s="203"/>
      <c r="AB170" s="203"/>
      <c r="AC170" s="203"/>
      <c r="AD170" s="203"/>
      <c r="AE170" s="204"/>
      <c r="AF170" s="204"/>
      <c r="AG170" s="203"/>
      <c r="AH170" s="203"/>
      <c r="AI170" s="203"/>
      <c r="AJ170" s="203"/>
      <c r="AK170" s="203"/>
      <c r="AL170" s="203"/>
      <c r="AM170" s="7"/>
      <c r="AN170" s="7"/>
      <c r="AO170" s="4"/>
      <c r="AP170" s="4"/>
      <c r="AQ170" s="4"/>
      <c r="AR170" s="4"/>
      <c r="AS170" s="4"/>
      <c r="AT170" s="4"/>
      <c r="AW170" s="19"/>
      <c r="AX170" s="19"/>
      <c r="AY170" s="19"/>
      <c r="AZ170" s="19"/>
      <c r="BA170" s="19"/>
      <c r="BB170" s="19"/>
      <c r="BC170" s="19"/>
      <c r="BD170" s="19"/>
      <c r="BE170" s="19"/>
      <c r="BF170" s="19"/>
      <c r="BG170" s="19"/>
      <c r="BH170" s="19"/>
      <c r="BI170" s="19"/>
      <c r="BJ170" s="19"/>
      <c r="BK170" s="19"/>
      <c r="BL170" s="19"/>
      <c r="BM170" s="19"/>
      <c r="BN170" s="19"/>
      <c r="BO170" s="19"/>
      <c r="BP170" s="19"/>
      <c r="BQ170" s="19"/>
      <c r="BR170" s="19"/>
      <c r="BS170" s="19"/>
      <c r="BT170" s="19"/>
      <c r="BU170" s="19"/>
      <c r="BV170" s="19"/>
      <c r="BW170" s="19"/>
    </row>
    <row r="171" spans="1:75" ht="12" customHeight="1" outlineLevel="1" x14ac:dyDescent="0.35">
      <c r="J171" s="2"/>
      <c r="K171" s="2"/>
      <c r="L171" s="2"/>
      <c r="Y171" s="2"/>
      <c r="Z171" s="2"/>
      <c r="AA171" s="2"/>
      <c r="AB171" s="2"/>
      <c r="AC171" s="2"/>
      <c r="AD171" s="2"/>
      <c r="AE171" s="2"/>
      <c r="AF171" s="2"/>
      <c r="AG171" s="2"/>
      <c r="AH171" s="2"/>
      <c r="AI171" s="2"/>
      <c r="AJ171" s="2"/>
      <c r="AK171" s="2"/>
      <c r="AL171" s="2"/>
      <c r="AM171" s="8"/>
      <c r="AN171" s="8"/>
      <c r="AO171" s="8"/>
      <c r="AP171" s="8"/>
      <c r="AQ171" s="8"/>
      <c r="AW171" s="223" t="s">
        <v>212</v>
      </c>
      <c r="AX171" s="223"/>
      <c r="AY171" s="223"/>
      <c r="AZ171" s="223"/>
      <c r="BA171" s="223"/>
      <c r="BB171" s="223"/>
      <c r="BC171" s="223"/>
      <c r="BD171" s="223"/>
      <c r="BE171" s="223"/>
      <c r="BF171" s="223"/>
      <c r="BG171" s="223"/>
      <c r="BH171" s="223"/>
      <c r="BI171" s="223"/>
      <c r="BJ171" s="223"/>
      <c r="BK171" s="223"/>
      <c r="BL171" s="223"/>
      <c r="BM171" s="223"/>
      <c r="BN171" s="223"/>
      <c r="BO171" s="223"/>
      <c r="BP171" s="223"/>
      <c r="BQ171" s="223"/>
      <c r="BR171" s="222">
        <f>VLOOKUP($BM$7,'Int Data - Case 3'!A1:W55,14,FALSE)</f>
        <v>48</v>
      </c>
      <c r="BS171" s="222"/>
      <c r="BT171" s="222"/>
      <c r="BU171" s="222"/>
      <c r="BV171" s="222"/>
      <c r="BW171" s="222"/>
    </row>
    <row r="172" spans="1:75" ht="12" customHeight="1" outlineLevel="1" x14ac:dyDescent="0.35">
      <c r="C172" s="219" t="s">
        <v>764</v>
      </c>
      <c r="D172" s="219"/>
      <c r="E172" s="219"/>
      <c r="F172" s="219"/>
      <c r="G172" s="219"/>
      <c r="H172" s="219"/>
      <c r="I172" s="219"/>
      <c r="J172" s="219"/>
      <c r="K172" s="219"/>
      <c r="L172" s="219"/>
      <c r="M172" s="219"/>
      <c r="N172" s="219"/>
      <c r="O172" s="219"/>
      <c r="P172" s="219"/>
      <c r="Q172" s="219"/>
      <c r="R172" s="219"/>
      <c r="S172" s="219"/>
      <c r="T172" s="219"/>
      <c r="U172" s="219"/>
      <c r="V172" s="219"/>
      <c r="W172" s="10"/>
      <c r="X172" s="10"/>
      <c r="Y172" s="221">
        <f>VLOOKUP('State Detail'!BM$7,RawData[[#All],[State]:[Opportunity to leverage existing policies and initiatives]],28,FALSE)</f>
        <v>0.38300000000000001</v>
      </c>
      <c r="Z172" s="221"/>
      <c r="AA172" s="221"/>
      <c r="AB172" s="221"/>
      <c r="AC172" s="221"/>
      <c r="AD172" s="221"/>
      <c r="AE172" s="202"/>
      <c r="AF172" s="202"/>
      <c r="AG172" s="221">
        <f>'Raw Data'!AQ53</f>
        <v>0.41565258490542573</v>
      </c>
      <c r="AH172" s="221"/>
      <c r="AI172" s="221"/>
      <c r="AJ172" s="221"/>
      <c r="AK172" s="221"/>
      <c r="AL172" s="221"/>
      <c r="AM172" s="9"/>
      <c r="AN172" s="9"/>
      <c r="AO172" s="214">
        <f>VLOOKUP('State Detail'!BM$7,'Int Data - Case 3'!A1:W55,8,FALSE)</f>
        <v>35</v>
      </c>
      <c r="AP172" s="214"/>
      <c r="AQ172" s="214"/>
      <c r="AR172" s="214"/>
      <c r="AS172" s="214"/>
      <c r="AT172" s="214"/>
      <c r="AW172" s="223"/>
      <c r="AX172" s="223"/>
      <c r="AY172" s="223"/>
      <c r="AZ172" s="223"/>
      <c r="BA172" s="223"/>
      <c r="BB172" s="223"/>
      <c r="BC172" s="223"/>
      <c r="BD172" s="223"/>
      <c r="BE172" s="223"/>
      <c r="BF172" s="223"/>
      <c r="BG172" s="223"/>
      <c r="BH172" s="223"/>
      <c r="BI172" s="223"/>
      <c r="BJ172" s="223"/>
      <c r="BK172" s="223"/>
      <c r="BL172" s="223"/>
      <c r="BM172" s="223"/>
      <c r="BN172" s="223"/>
      <c r="BO172" s="223"/>
      <c r="BP172" s="223"/>
      <c r="BQ172" s="223"/>
      <c r="BR172" s="222"/>
      <c r="BS172" s="222"/>
      <c r="BT172" s="222"/>
      <c r="BU172" s="222"/>
      <c r="BV172" s="222"/>
      <c r="BW172" s="222"/>
    </row>
    <row r="173" spans="1:75" ht="12" customHeight="1" outlineLevel="1" x14ac:dyDescent="0.35">
      <c r="C173" s="219"/>
      <c r="D173" s="219"/>
      <c r="E173" s="219"/>
      <c r="F173" s="219"/>
      <c r="G173" s="219"/>
      <c r="H173" s="219"/>
      <c r="I173" s="219"/>
      <c r="J173" s="219"/>
      <c r="K173" s="219"/>
      <c r="L173" s="219"/>
      <c r="M173" s="219"/>
      <c r="N173" s="219"/>
      <c r="O173" s="219"/>
      <c r="P173" s="219"/>
      <c r="Q173" s="219"/>
      <c r="R173" s="219"/>
      <c r="S173" s="219"/>
      <c r="T173" s="219"/>
      <c r="U173" s="219"/>
      <c r="V173" s="219"/>
      <c r="W173" s="10"/>
      <c r="X173" s="10"/>
      <c r="Y173" s="221"/>
      <c r="Z173" s="221"/>
      <c r="AA173" s="221"/>
      <c r="AB173" s="221"/>
      <c r="AC173" s="221"/>
      <c r="AD173" s="221"/>
      <c r="AE173" s="202"/>
      <c r="AF173" s="202"/>
      <c r="AG173" s="221"/>
      <c r="AH173" s="221"/>
      <c r="AI173" s="221"/>
      <c r="AJ173" s="221"/>
      <c r="AK173" s="221"/>
      <c r="AL173" s="221"/>
      <c r="AM173" s="9"/>
      <c r="AN173" s="9"/>
      <c r="AO173" s="214"/>
      <c r="AP173" s="214"/>
      <c r="AQ173" s="214"/>
      <c r="AR173" s="214"/>
      <c r="AS173" s="214"/>
      <c r="AT173" s="214"/>
      <c r="AW173" s="223"/>
      <c r="AX173" s="223"/>
      <c r="AY173" s="223"/>
      <c r="AZ173" s="223"/>
      <c r="BA173" s="223"/>
      <c r="BB173" s="223"/>
      <c r="BC173" s="223"/>
      <c r="BD173" s="223"/>
      <c r="BE173" s="223"/>
      <c r="BF173" s="223"/>
      <c r="BG173" s="223"/>
      <c r="BH173" s="223"/>
      <c r="BI173" s="223"/>
      <c r="BJ173" s="223"/>
      <c r="BK173" s="223"/>
      <c r="BL173" s="223"/>
      <c r="BM173" s="223"/>
      <c r="BN173" s="223"/>
      <c r="BO173" s="223"/>
      <c r="BP173" s="223"/>
      <c r="BQ173" s="223"/>
      <c r="BR173" s="222"/>
      <c r="BS173" s="222"/>
      <c r="BT173" s="222"/>
      <c r="BU173" s="222"/>
      <c r="BV173" s="222"/>
      <c r="BW173" s="222"/>
    </row>
    <row r="174" spans="1:75" ht="12" customHeight="1" x14ac:dyDescent="0.35">
      <c r="Y174" s="2"/>
      <c r="Z174" s="2"/>
      <c r="AA174" s="2"/>
      <c r="AB174" s="2"/>
      <c r="AC174" s="2"/>
      <c r="AD174" s="2"/>
      <c r="AE174" s="2"/>
      <c r="AF174" s="2"/>
      <c r="AG174" s="2"/>
      <c r="AH174" s="2"/>
      <c r="AI174" s="2"/>
      <c r="AJ174" s="2"/>
      <c r="AK174" s="2"/>
      <c r="AL174" s="2"/>
      <c r="AM174" s="8"/>
      <c r="AN174" s="8"/>
      <c r="AO174" s="8"/>
      <c r="AP174" s="8"/>
      <c r="AQ174" s="8"/>
    </row>
    <row r="175" spans="1:75" ht="12" customHeight="1" outlineLevel="1" x14ac:dyDescent="0.35">
      <c r="A175" s="225" t="s">
        <v>643</v>
      </c>
      <c r="B175" s="225"/>
      <c r="C175" s="225"/>
      <c r="D175" s="225"/>
      <c r="E175" s="225"/>
      <c r="F175" s="225"/>
      <c r="G175" s="225"/>
      <c r="H175" s="225"/>
      <c r="I175" s="225"/>
      <c r="J175" s="225"/>
      <c r="K175" s="225"/>
      <c r="L175" s="225"/>
      <c r="M175" s="225"/>
      <c r="N175" s="225"/>
      <c r="O175" s="225"/>
      <c r="P175" s="225"/>
      <c r="Q175" s="225"/>
      <c r="R175" s="225"/>
      <c r="S175" s="225"/>
      <c r="T175" s="225"/>
      <c r="U175" s="225"/>
      <c r="V175" s="225"/>
      <c r="W175" s="6"/>
      <c r="X175" s="6"/>
      <c r="Y175" s="6"/>
      <c r="Z175" s="6"/>
      <c r="AA175" s="6"/>
      <c r="AB175" s="6"/>
      <c r="AC175" s="6"/>
      <c r="AD175" s="6"/>
      <c r="AE175" s="6"/>
      <c r="AF175" s="6"/>
      <c r="AG175" s="6"/>
      <c r="AH175" s="6"/>
      <c r="AI175" s="6"/>
      <c r="AJ175" s="226"/>
      <c r="AK175" s="226"/>
      <c r="AL175" s="226"/>
      <c r="AM175" s="226"/>
      <c r="AN175" s="226"/>
      <c r="AO175" s="226"/>
      <c r="AP175" s="226"/>
      <c r="AQ175" s="226"/>
      <c r="AR175" s="226"/>
      <c r="AS175" s="226"/>
      <c r="AT175" s="6"/>
      <c r="AU175" s="6"/>
      <c r="BF175" s="8"/>
      <c r="BG175" s="8"/>
      <c r="BH175" s="8"/>
      <c r="BI175" s="8"/>
      <c r="BJ175" s="8"/>
      <c r="BK175" s="8"/>
      <c r="BL175" s="8"/>
      <c r="BM175" s="8"/>
      <c r="BN175" s="8"/>
      <c r="BO175" s="8"/>
      <c r="BP175" s="8"/>
      <c r="BQ175" s="8"/>
      <c r="BR175" s="8"/>
      <c r="BS175" s="8"/>
      <c r="BT175" s="8"/>
      <c r="BU175" s="8"/>
      <c r="BV175" s="8"/>
      <c r="BW175" s="8"/>
    </row>
    <row r="176" spans="1:75" ht="12" customHeight="1" outlineLevel="1" x14ac:dyDescent="0.35">
      <c r="A176" s="225"/>
      <c r="B176" s="225"/>
      <c r="C176" s="225"/>
      <c r="D176" s="225"/>
      <c r="E176" s="225"/>
      <c r="F176" s="225"/>
      <c r="G176" s="225"/>
      <c r="H176" s="225"/>
      <c r="I176" s="225"/>
      <c r="J176" s="225"/>
      <c r="K176" s="225"/>
      <c r="L176" s="225"/>
      <c r="M176" s="225"/>
      <c r="N176" s="225"/>
      <c r="O176" s="225"/>
      <c r="P176" s="225"/>
      <c r="Q176" s="225"/>
      <c r="R176" s="225"/>
      <c r="S176" s="225"/>
      <c r="T176" s="225"/>
      <c r="U176" s="225"/>
      <c r="V176" s="225"/>
      <c r="W176" s="6"/>
      <c r="X176" s="6"/>
      <c r="Y176" s="6"/>
      <c r="Z176" s="6"/>
      <c r="AA176" s="6"/>
      <c r="AB176" s="6"/>
      <c r="AC176" s="6"/>
      <c r="AD176" s="6"/>
      <c r="AE176" s="6"/>
      <c r="AF176" s="6"/>
      <c r="AG176" s="6"/>
      <c r="AH176" s="6"/>
      <c r="AI176" s="6"/>
      <c r="AJ176" s="226"/>
      <c r="AK176" s="226"/>
      <c r="AL176" s="226"/>
      <c r="AM176" s="226"/>
      <c r="AN176" s="226"/>
      <c r="AO176" s="226"/>
      <c r="AP176" s="226"/>
      <c r="AQ176" s="226"/>
      <c r="AR176" s="226"/>
      <c r="AS176" s="226"/>
      <c r="AT176" s="6"/>
      <c r="AU176" s="6"/>
      <c r="BF176" s="8"/>
      <c r="BG176" s="8"/>
      <c r="BH176" s="8"/>
      <c r="BI176" s="8"/>
      <c r="BJ176" s="8"/>
      <c r="BK176" s="8"/>
      <c r="BL176" s="8"/>
      <c r="BM176" s="8"/>
      <c r="BN176" s="8"/>
      <c r="BO176" s="8"/>
      <c r="BP176" s="8"/>
      <c r="BQ176" s="8"/>
      <c r="BR176" s="8"/>
      <c r="BS176" s="8"/>
      <c r="BT176" s="8"/>
      <c r="BU176" s="8"/>
      <c r="BV176" s="8"/>
      <c r="BW176" s="8"/>
    </row>
    <row r="177" spans="3:46" ht="12" customHeight="1" outlineLevel="1" x14ac:dyDescent="0.35">
      <c r="J177" s="2"/>
      <c r="K177" s="2"/>
      <c r="L177" s="2"/>
      <c r="Z177" s="8"/>
      <c r="AA177" s="8"/>
      <c r="AB177" s="8"/>
      <c r="AC177" s="8"/>
      <c r="AD177" s="8"/>
      <c r="AE177" s="8"/>
      <c r="AF177" s="8"/>
      <c r="AG177" s="8"/>
      <c r="AH177" s="8"/>
      <c r="AI177" s="8"/>
      <c r="AJ177" s="8"/>
      <c r="AK177" s="8"/>
      <c r="AL177" s="8"/>
      <c r="AM177" s="8"/>
      <c r="AN177" s="8"/>
      <c r="AO177" s="8"/>
      <c r="AP177" s="8"/>
      <c r="AQ177" s="8"/>
    </row>
    <row r="178" spans="3:46" ht="12" customHeight="1" outlineLevel="1" x14ac:dyDescent="0.35">
      <c r="C178" s="5"/>
      <c r="D178" s="5"/>
      <c r="E178" s="5"/>
      <c r="F178" s="5"/>
      <c r="G178" s="5"/>
      <c r="H178" s="5"/>
      <c r="I178" s="5"/>
      <c r="J178" s="5"/>
      <c r="K178" s="5"/>
      <c r="L178" s="5"/>
      <c r="M178" s="5"/>
      <c r="N178" s="5"/>
      <c r="O178" s="5"/>
      <c r="P178" s="5"/>
      <c r="Q178" s="5"/>
      <c r="R178" s="5"/>
      <c r="S178" s="5"/>
      <c r="T178" s="5"/>
      <c r="U178" s="5"/>
      <c r="V178" s="5"/>
      <c r="Y178" s="227" t="str">
        <f>BM$7</f>
        <v>Kentucky</v>
      </c>
      <c r="Z178" s="227"/>
      <c r="AA178" s="227"/>
      <c r="AB178" s="227"/>
      <c r="AC178" s="227"/>
      <c r="AD178" s="227"/>
      <c r="AE178" s="14"/>
      <c r="AF178" s="14"/>
      <c r="AG178" s="227" t="s">
        <v>3</v>
      </c>
      <c r="AH178" s="227"/>
      <c r="AI178" s="227"/>
      <c r="AJ178" s="227"/>
      <c r="AK178" s="227"/>
      <c r="AL178" s="227"/>
      <c r="AM178" s="14"/>
      <c r="AN178" s="14"/>
      <c r="AO178" s="227" t="s">
        <v>4</v>
      </c>
      <c r="AP178" s="227"/>
      <c r="AQ178" s="227"/>
      <c r="AR178" s="227"/>
      <c r="AS178" s="227"/>
      <c r="AT178" s="227"/>
    </row>
    <row r="179" spans="3:46" ht="12" customHeight="1" outlineLevel="1" x14ac:dyDescent="0.35">
      <c r="Y179" s="228"/>
      <c r="Z179" s="228"/>
      <c r="AA179" s="228"/>
      <c r="AB179" s="228"/>
      <c r="AC179" s="228"/>
      <c r="AD179" s="228"/>
      <c r="AE179" s="15"/>
      <c r="AF179" s="15"/>
      <c r="AG179" s="228"/>
      <c r="AH179" s="228"/>
      <c r="AI179" s="228"/>
      <c r="AJ179" s="228"/>
      <c r="AK179" s="228"/>
      <c r="AL179" s="228"/>
      <c r="AM179" s="15"/>
      <c r="AN179" s="15"/>
      <c r="AO179" s="228"/>
      <c r="AP179" s="228"/>
      <c r="AQ179" s="228"/>
      <c r="AR179" s="228"/>
      <c r="AS179" s="228"/>
      <c r="AT179" s="228"/>
    </row>
    <row r="180" spans="3:46" ht="12" customHeight="1" outlineLevel="1" x14ac:dyDescent="0.35">
      <c r="C180" s="217" t="s">
        <v>792</v>
      </c>
      <c r="D180" s="217"/>
      <c r="E180" s="217"/>
      <c r="F180" s="217"/>
      <c r="G180" s="217"/>
      <c r="H180" s="217"/>
      <c r="I180" s="217"/>
      <c r="J180" s="217"/>
      <c r="K180" s="217"/>
      <c r="L180" s="217"/>
      <c r="M180" s="217"/>
      <c r="N180" s="217"/>
      <c r="O180" s="217"/>
      <c r="P180" s="217"/>
      <c r="Q180" s="217"/>
      <c r="R180" s="217"/>
      <c r="S180" s="217"/>
      <c r="T180" s="217"/>
      <c r="U180" s="217"/>
      <c r="V180" s="217"/>
      <c r="W180" s="10"/>
      <c r="X180" s="10"/>
      <c r="Y180" s="221">
        <f>VLOOKUP('State Detail'!BM$7,RawData[[#All],[State]:[Opportunity to leverage existing policies and initiatives]],37,FALSE)</f>
        <v>-6.5000000000000002E-2</v>
      </c>
      <c r="Z180" s="221"/>
      <c r="AA180" s="221"/>
      <c r="AB180" s="221"/>
      <c r="AC180" s="221"/>
      <c r="AD180" s="221"/>
      <c r="AE180" s="202"/>
      <c r="AF180" s="202"/>
      <c r="AG180" s="221">
        <f>'Raw Data'!AK$53</f>
        <v>-6.2679999999999986E-2</v>
      </c>
      <c r="AH180" s="221"/>
      <c r="AI180" s="221"/>
      <c r="AJ180" s="221"/>
      <c r="AK180" s="221"/>
      <c r="AL180" s="221"/>
      <c r="AM180" s="9"/>
      <c r="AN180" s="9"/>
      <c r="AO180" s="214">
        <f>VLOOKUP('State Detail'!BM$7,'Int Data - Case 3'!A1:W55,20,FALSE)</f>
        <v>27</v>
      </c>
      <c r="AP180" s="214"/>
      <c r="AQ180" s="214"/>
      <c r="AR180" s="214"/>
      <c r="AS180" s="214"/>
      <c r="AT180" s="214"/>
    </row>
    <row r="181" spans="3:46" ht="12" customHeight="1" outlineLevel="1" x14ac:dyDescent="0.35">
      <c r="C181" s="217"/>
      <c r="D181" s="217"/>
      <c r="E181" s="217"/>
      <c r="F181" s="217"/>
      <c r="G181" s="217"/>
      <c r="H181" s="217"/>
      <c r="I181" s="217"/>
      <c r="J181" s="217"/>
      <c r="K181" s="217"/>
      <c r="L181" s="217"/>
      <c r="M181" s="217"/>
      <c r="N181" s="217"/>
      <c r="O181" s="217"/>
      <c r="P181" s="217"/>
      <c r="Q181" s="217"/>
      <c r="R181" s="217"/>
      <c r="S181" s="217"/>
      <c r="T181" s="217"/>
      <c r="U181" s="217"/>
      <c r="V181" s="217"/>
      <c r="W181" s="10"/>
      <c r="X181" s="10"/>
      <c r="Y181" s="221"/>
      <c r="Z181" s="221"/>
      <c r="AA181" s="221"/>
      <c r="AB181" s="221"/>
      <c r="AC181" s="221"/>
      <c r="AD181" s="221"/>
      <c r="AE181" s="202"/>
      <c r="AF181" s="202"/>
      <c r="AG181" s="221"/>
      <c r="AH181" s="221"/>
      <c r="AI181" s="221"/>
      <c r="AJ181" s="221"/>
      <c r="AK181" s="221"/>
      <c r="AL181" s="221"/>
      <c r="AM181" s="9"/>
      <c r="AN181" s="9"/>
      <c r="AO181" s="214"/>
      <c r="AP181" s="214"/>
      <c r="AQ181" s="214"/>
      <c r="AR181" s="214"/>
      <c r="AS181" s="214"/>
      <c r="AT181" s="214"/>
    </row>
    <row r="182" spans="3:46" ht="12" customHeight="1" outlineLevel="1" x14ac:dyDescent="0.35">
      <c r="J182" s="2"/>
      <c r="K182" s="2"/>
      <c r="L182" s="2"/>
      <c r="Y182" s="2"/>
      <c r="Z182" s="2"/>
      <c r="AA182" s="2"/>
      <c r="AB182" s="2"/>
      <c r="AC182" s="2"/>
      <c r="AD182" s="2"/>
      <c r="AE182" s="2"/>
      <c r="AF182" s="2"/>
      <c r="AG182" s="2"/>
      <c r="AH182" s="2"/>
      <c r="AI182" s="2"/>
      <c r="AJ182" s="2"/>
      <c r="AK182" s="2"/>
      <c r="AL182" s="2"/>
      <c r="AM182" s="8"/>
      <c r="AN182" s="8"/>
      <c r="AO182" s="8"/>
      <c r="AP182" s="8"/>
      <c r="AQ182" s="8"/>
    </row>
    <row r="183" spans="3:46" ht="12" customHeight="1" outlineLevel="1" x14ac:dyDescent="0.35">
      <c r="J183" s="2"/>
      <c r="K183" s="2"/>
      <c r="L183" s="2"/>
      <c r="Y183" s="2"/>
      <c r="Z183" s="2"/>
      <c r="AA183" s="2"/>
      <c r="AB183" s="2"/>
      <c r="AC183" s="2"/>
      <c r="AD183" s="2"/>
      <c r="AE183" s="2"/>
      <c r="AF183" s="2"/>
      <c r="AG183" s="2"/>
      <c r="AH183" s="2"/>
      <c r="AI183" s="2"/>
      <c r="AJ183" s="2"/>
      <c r="AK183" s="2"/>
      <c r="AL183" s="2"/>
      <c r="AM183" s="8"/>
      <c r="AN183" s="8"/>
      <c r="AO183" s="8"/>
      <c r="AP183" s="8"/>
      <c r="AQ183" s="8"/>
    </row>
    <row r="184" spans="3:46" ht="12" customHeight="1" outlineLevel="1" x14ac:dyDescent="0.35">
      <c r="C184" s="219" t="s">
        <v>765</v>
      </c>
      <c r="D184" s="219"/>
      <c r="E184" s="219"/>
      <c r="F184" s="219"/>
      <c r="G184" s="219"/>
      <c r="H184" s="219"/>
      <c r="I184" s="219"/>
      <c r="J184" s="219"/>
      <c r="K184" s="219"/>
      <c r="L184" s="219"/>
      <c r="M184" s="219"/>
      <c r="N184" s="219"/>
      <c r="O184" s="219"/>
      <c r="P184" s="219"/>
      <c r="Q184" s="219"/>
      <c r="R184" s="219"/>
      <c r="S184" s="219"/>
      <c r="T184" s="219"/>
      <c r="U184" s="219"/>
      <c r="V184" s="219"/>
      <c r="W184" s="10"/>
      <c r="X184" s="10"/>
      <c r="Y184" s="221">
        <f>VLOOKUP('State Detail'!BM$7,RawData[[#All],[State]:[Opportunity to leverage existing policies and initiatives]],44,FALSE)</f>
        <v>0.59099999999999997</v>
      </c>
      <c r="Z184" s="221"/>
      <c r="AA184" s="221"/>
      <c r="AB184" s="221"/>
      <c r="AC184" s="221"/>
      <c r="AD184" s="221"/>
      <c r="AE184" s="202"/>
      <c r="AF184" s="202"/>
      <c r="AG184" s="221">
        <f>'Raw Data'!AR$53</f>
        <v>0.61516000000000004</v>
      </c>
      <c r="AH184" s="221"/>
      <c r="AI184" s="221"/>
      <c r="AJ184" s="221"/>
      <c r="AK184" s="221"/>
      <c r="AL184" s="221"/>
      <c r="AM184" s="9"/>
      <c r="AN184" s="9"/>
      <c r="AO184" s="214">
        <f>VLOOKUP('State Detail'!BM$7,'Int Data - Case 3'!A1:W55,21,FALSE)</f>
        <v>19</v>
      </c>
      <c r="AP184" s="214"/>
      <c r="AQ184" s="214"/>
      <c r="AR184" s="214"/>
      <c r="AS184" s="214"/>
      <c r="AT184" s="214"/>
    </row>
    <row r="185" spans="3:46" ht="12" customHeight="1" outlineLevel="1" x14ac:dyDescent="0.35">
      <c r="C185" s="219"/>
      <c r="D185" s="219"/>
      <c r="E185" s="219"/>
      <c r="F185" s="219"/>
      <c r="G185" s="219"/>
      <c r="H185" s="219"/>
      <c r="I185" s="219"/>
      <c r="J185" s="219"/>
      <c r="K185" s="219"/>
      <c r="L185" s="219"/>
      <c r="M185" s="219"/>
      <c r="N185" s="219"/>
      <c r="O185" s="219"/>
      <c r="P185" s="219"/>
      <c r="Q185" s="219"/>
      <c r="R185" s="219"/>
      <c r="S185" s="219"/>
      <c r="T185" s="219"/>
      <c r="U185" s="219"/>
      <c r="V185" s="219"/>
      <c r="W185" s="10"/>
      <c r="X185" s="10"/>
      <c r="Y185" s="221"/>
      <c r="Z185" s="221"/>
      <c r="AA185" s="221"/>
      <c r="AB185" s="221"/>
      <c r="AC185" s="221"/>
      <c r="AD185" s="221"/>
      <c r="AE185" s="202"/>
      <c r="AF185" s="202"/>
      <c r="AG185" s="221"/>
      <c r="AH185" s="221"/>
      <c r="AI185" s="221"/>
      <c r="AJ185" s="221"/>
      <c r="AK185" s="221"/>
      <c r="AL185" s="221"/>
      <c r="AM185" s="9"/>
      <c r="AN185" s="9"/>
      <c r="AO185" s="214"/>
      <c r="AP185" s="214"/>
      <c r="AQ185" s="214"/>
      <c r="AR185" s="214"/>
      <c r="AS185" s="214"/>
      <c r="AT185" s="214"/>
    </row>
    <row r="186" spans="3:46" ht="12" customHeight="1" outlineLevel="1" x14ac:dyDescent="0.35">
      <c r="J186" s="2"/>
      <c r="K186" s="2"/>
      <c r="L186" s="2"/>
      <c r="Y186" s="2"/>
      <c r="Z186" s="2"/>
      <c r="AA186" s="2"/>
      <c r="AB186" s="2"/>
      <c r="AC186" s="2"/>
      <c r="AD186" s="2"/>
      <c r="AE186" s="2"/>
      <c r="AF186" s="2"/>
      <c r="AG186" s="2"/>
      <c r="AH186" s="2"/>
      <c r="AI186" s="2"/>
      <c r="AJ186" s="2"/>
      <c r="AK186" s="2"/>
      <c r="AL186" s="2"/>
      <c r="AM186" s="8"/>
      <c r="AN186" s="8"/>
      <c r="AO186" s="8"/>
      <c r="AP186" s="8"/>
      <c r="AQ186" s="8"/>
    </row>
    <row r="187" spans="3:46" ht="12" customHeight="1" outlineLevel="1" x14ac:dyDescent="0.35">
      <c r="J187" s="2"/>
      <c r="K187" s="2"/>
      <c r="L187" s="2"/>
      <c r="Y187" s="2"/>
      <c r="Z187" s="2"/>
      <c r="AA187" s="2"/>
      <c r="AB187" s="2"/>
      <c r="AC187" s="2"/>
      <c r="AD187" s="2"/>
      <c r="AE187" s="2"/>
      <c r="AF187" s="2"/>
      <c r="AG187" s="2"/>
      <c r="AH187" s="2"/>
      <c r="AI187" s="2"/>
      <c r="AJ187" s="2"/>
      <c r="AK187" s="2"/>
      <c r="AL187" s="2"/>
      <c r="AM187" s="8"/>
      <c r="AN187" s="8"/>
      <c r="AO187" s="8"/>
      <c r="AP187" s="8"/>
      <c r="AQ187" s="8"/>
    </row>
    <row r="188" spans="3:46" ht="12" customHeight="1" outlineLevel="1" x14ac:dyDescent="0.35">
      <c r="C188" s="219" t="s">
        <v>766</v>
      </c>
      <c r="D188" s="219"/>
      <c r="E188" s="219"/>
      <c r="F188" s="219"/>
      <c r="G188" s="219"/>
      <c r="H188" s="219"/>
      <c r="I188" s="219"/>
      <c r="J188" s="219"/>
      <c r="K188" s="219"/>
      <c r="L188" s="219"/>
      <c r="M188" s="219"/>
      <c r="N188" s="219"/>
      <c r="O188" s="219"/>
      <c r="P188" s="219"/>
      <c r="Q188" s="219"/>
      <c r="R188" s="219"/>
      <c r="S188" s="219"/>
      <c r="T188" s="219"/>
      <c r="U188" s="219"/>
      <c r="V188" s="219"/>
      <c r="W188" s="10"/>
      <c r="X188" s="10"/>
      <c r="Y188" s="221">
        <f>VLOOKUP('State Detail'!BM$7,RawData[[#All],[State]:[Opportunity to leverage existing policies and initiatives]],45,FALSE)</f>
        <v>0.78600000000000003</v>
      </c>
      <c r="Z188" s="221"/>
      <c r="AA188" s="221"/>
      <c r="AB188" s="221"/>
      <c r="AC188" s="221"/>
      <c r="AD188" s="221"/>
      <c r="AE188" s="202"/>
      <c r="AF188" s="202"/>
      <c r="AG188" s="221">
        <f>'Raw Data'!AS$53</f>
        <v>0.79990000000000006</v>
      </c>
      <c r="AH188" s="221"/>
      <c r="AI188" s="221"/>
      <c r="AJ188" s="221"/>
      <c r="AK188" s="221"/>
      <c r="AL188" s="221"/>
      <c r="AM188" s="9"/>
      <c r="AN188" s="9"/>
      <c r="AO188" s="214">
        <f>VLOOKUP('State Detail'!BM$7,'Int Data - Case 3'!A1:W55,22,FALSE)</f>
        <v>18</v>
      </c>
      <c r="AP188" s="214"/>
      <c r="AQ188" s="214"/>
      <c r="AR188" s="214"/>
      <c r="AS188" s="214"/>
      <c r="AT188" s="214"/>
    </row>
    <row r="189" spans="3:46" ht="12" customHeight="1" outlineLevel="1" x14ac:dyDescent="0.35">
      <c r="C189" s="219"/>
      <c r="D189" s="219"/>
      <c r="E189" s="219"/>
      <c r="F189" s="219"/>
      <c r="G189" s="219"/>
      <c r="H189" s="219"/>
      <c r="I189" s="219"/>
      <c r="J189" s="219"/>
      <c r="K189" s="219"/>
      <c r="L189" s="219"/>
      <c r="M189" s="219"/>
      <c r="N189" s="219"/>
      <c r="O189" s="219"/>
      <c r="P189" s="219"/>
      <c r="Q189" s="219"/>
      <c r="R189" s="219"/>
      <c r="S189" s="219"/>
      <c r="T189" s="219"/>
      <c r="U189" s="219"/>
      <c r="V189" s="219"/>
      <c r="W189" s="10"/>
      <c r="X189" s="10"/>
      <c r="Y189" s="221"/>
      <c r="Z189" s="221"/>
      <c r="AA189" s="221"/>
      <c r="AB189" s="221"/>
      <c r="AC189" s="221"/>
      <c r="AD189" s="221"/>
      <c r="AE189" s="202"/>
      <c r="AF189" s="202"/>
      <c r="AG189" s="221"/>
      <c r="AH189" s="221"/>
      <c r="AI189" s="221"/>
      <c r="AJ189" s="221"/>
      <c r="AK189" s="221"/>
      <c r="AL189" s="221"/>
      <c r="AM189" s="9"/>
      <c r="AN189" s="9"/>
      <c r="AO189" s="214"/>
      <c r="AP189" s="214"/>
      <c r="AQ189" s="214"/>
      <c r="AR189" s="214"/>
      <c r="AS189" s="214"/>
      <c r="AT189" s="214"/>
    </row>
    <row r="190" spans="3:46" ht="12" customHeight="1" x14ac:dyDescent="0.35">
      <c r="Y190" s="203"/>
      <c r="Z190" s="203"/>
      <c r="AA190" s="203"/>
      <c r="AB190" s="203"/>
      <c r="AC190" s="203"/>
      <c r="AD190" s="203"/>
      <c r="AE190" s="204"/>
      <c r="AF190" s="204"/>
      <c r="AG190" s="203"/>
      <c r="AH190" s="203"/>
      <c r="AI190" s="203"/>
      <c r="AJ190" s="203"/>
      <c r="AK190" s="203"/>
      <c r="AL190" s="203"/>
      <c r="AM190" s="8"/>
      <c r="AN190" s="8"/>
      <c r="AO190" s="8"/>
      <c r="AP190" s="8"/>
      <c r="AQ190" s="8"/>
    </row>
    <row r="191" spans="3:46" ht="12" customHeight="1" x14ac:dyDescent="0.35">
      <c r="Y191" s="2"/>
      <c r="Z191" s="2"/>
      <c r="AA191" s="2"/>
      <c r="AB191" s="2"/>
      <c r="AC191" s="2"/>
      <c r="AD191" s="2"/>
      <c r="AE191" s="2"/>
      <c r="AF191" s="2"/>
      <c r="AG191" s="2"/>
      <c r="AH191" s="2"/>
      <c r="AI191" s="2"/>
      <c r="AJ191" s="2"/>
      <c r="AK191" s="2"/>
      <c r="AL191" s="2"/>
      <c r="AM191" s="8"/>
      <c r="AN191" s="8"/>
      <c r="AO191" s="8"/>
      <c r="AP191" s="8"/>
      <c r="AQ191" s="8"/>
    </row>
    <row r="192" spans="3:46" ht="12" customHeight="1" outlineLevel="1" x14ac:dyDescent="0.35">
      <c r="C192" s="219" t="s">
        <v>767</v>
      </c>
      <c r="D192" s="219"/>
      <c r="E192" s="219"/>
      <c r="F192" s="219"/>
      <c r="G192" s="219"/>
      <c r="H192" s="219"/>
      <c r="I192" s="219"/>
      <c r="J192" s="219"/>
      <c r="K192" s="219"/>
      <c r="L192" s="219"/>
      <c r="M192" s="219"/>
      <c r="N192" s="219"/>
      <c r="O192" s="219"/>
      <c r="P192" s="219"/>
      <c r="Q192" s="219"/>
      <c r="R192" s="219"/>
      <c r="S192" s="219"/>
      <c r="T192" s="219"/>
      <c r="U192" s="219"/>
      <c r="V192" s="219"/>
      <c r="W192" s="10"/>
      <c r="X192" s="10"/>
      <c r="Y192" s="221">
        <f>VLOOKUP('State Detail'!BM$7,RawData[[#All],[State]:[Opportunity to leverage existing policies and initiatives]],46,FALSE)</f>
        <v>0.40799999999999997</v>
      </c>
      <c r="Z192" s="221"/>
      <c r="AA192" s="221"/>
      <c r="AB192" s="221"/>
      <c r="AC192" s="221"/>
      <c r="AD192" s="221"/>
      <c r="AE192" s="202"/>
      <c r="AF192" s="202"/>
      <c r="AG192" s="221">
        <f>'Raw Data'!AT$53</f>
        <v>0.4692599999999999</v>
      </c>
      <c r="AH192" s="221"/>
      <c r="AI192" s="221"/>
      <c r="AJ192" s="221"/>
      <c r="AK192" s="221"/>
      <c r="AL192" s="221"/>
      <c r="AM192" s="9"/>
      <c r="AN192" s="9"/>
      <c r="AO192" s="214">
        <f>VLOOKUP('State Detail'!BM$7,'Int Data - Case 3'!A1:W55,23,FALSE)</f>
        <v>13</v>
      </c>
      <c r="AP192" s="214"/>
      <c r="AQ192" s="214"/>
      <c r="AR192" s="214"/>
      <c r="AS192" s="214"/>
      <c r="AT192" s="214"/>
    </row>
    <row r="193" spans="1:78" ht="12" customHeight="1" outlineLevel="1" x14ac:dyDescent="0.35">
      <c r="C193" s="219"/>
      <c r="D193" s="219"/>
      <c r="E193" s="219"/>
      <c r="F193" s="219"/>
      <c r="G193" s="219"/>
      <c r="H193" s="219"/>
      <c r="I193" s="219"/>
      <c r="J193" s="219"/>
      <c r="K193" s="219"/>
      <c r="L193" s="219"/>
      <c r="M193" s="219"/>
      <c r="N193" s="219"/>
      <c r="O193" s="219"/>
      <c r="P193" s="219"/>
      <c r="Q193" s="219"/>
      <c r="R193" s="219"/>
      <c r="S193" s="219"/>
      <c r="T193" s="219"/>
      <c r="U193" s="219"/>
      <c r="V193" s="219"/>
      <c r="W193" s="10"/>
      <c r="X193" s="10"/>
      <c r="Y193" s="221"/>
      <c r="Z193" s="221"/>
      <c r="AA193" s="221"/>
      <c r="AB193" s="221"/>
      <c r="AC193" s="221"/>
      <c r="AD193" s="221"/>
      <c r="AE193" s="202"/>
      <c r="AF193" s="202"/>
      <c r="AG193" s="221"/>
      <c r="AH193" s="221"/>
      <c r="AI193" s="221"/>
      <c r="AJ193" s="221"/>
      <c r="AK193" s="221"/>
      <c r="AL193" s="221"/>
      <c r="AM193" s="9"/>
      <c r="AN193" s="9"/>
      <c r="AO193" s="214"/>
      <c r="AP193" s="214"/>
      <c r="AQ193" s="214"/>
      <c r="AR193" s="214"/>
      <c r="AS193" s="214"/>
      <c r="AT193" s="214"/>
    </row>
    <row r="194" spans="1:78" ht="12" customHeight="1" x14ac:dyDescent="0.35">
      <c r="Z194" s="8"/>
      <c r="AA194" s="8"/>
      <c r="AB194" s="8"/>
      <c r="AC194" s="8"/>
      <c r="AD194" s="8"/>
      <c r="AE194" s="8"/>
      <c r="AF194" s="8"/>
      <c r="AG194" s="8"/>
      <c r="AH194" s="8"/>
      <c r="AI194" s="8"/>
      <c r="AJ194" s="8"/>
      <c r="AK194" s="8"/>
      <c r="AL194" s="8"/>
      <c r="AM194" s="8"/>
      <c r="AN194" s="8"/>
      <c r="AO194" s="8"/>
      <c r="AP194" s="8"/>
      <c r="AQ194" s="8"/>
    </row>
    <row r="195" spans="1:78" ht="12" customHeight="1" x14ac:dyDescent="0.35">
      <c r="A195" s="235" t="s">
        <v>18</v>
      </c>
      <c r="B195" s="235"/>
      <c r="C195" s="235"/>
      <c r="D195" s="235"/>
      <c r="E195" s="235"/>
      <c r="F195" s="235"/>
      <c r="G195" s="235"/>
      <c r="H195" s="235"/>
      <c r="I195" s="235"/>
      <c r="J195" s="235"/>
      <c r="K195" s="235"/>
      <c r="L195" s="235"/>
      <c r="M195" s="235"/>
      <c r="N195" s="235"/>
      <c r="O195" s="235"/>
      <c r="P195" s="235"/>
      <c r="Q195" s="235"/>
      <c r="R195" s="235"/>
      <c r="S195" s="235"/>
      <c r="T195" s="235"/>
      <c r="U195" s="235"/>
      <c r="V195" s="235"/>
      <c r="W195" s="235"/>
      <c r="X195" s="235"/>
      <c r="Y195" s="235"/>
      <c r="Z195" s="235"/>
      <c r="AA195" s="235"/>
      <c r="AB195" s="235"/>
      <c r="AC195" s="235"/>
      <c r="AD195" s="235"/>
      <c r="AE195" s="235"/>
      <c r="AF195" s="235"/>
      <c r="AG195" s="235"/>
      <c r="AH195" s="235"/>
      <c r="AI195" s="235"/>
      <c r="AJ195" s="235"/>
      <c r="AK195" s="235"/>
      <c r="AL195" s="235"/>
      <c r="AM195" s="235"/>
      <c r="AN195" s="235"/>
      <c r="AO195" s="235"/>
      <c r="AP195" s="235"/>
      <c r="AQ195" s="235"/>
      <c r="AR195" s="235"/>
      <c r="AS195" s="235"/>
      <c r="AT195" s="235"/>
      <c r="AU195" s="235"/>
      <c r="AV195" s="235"/>
      <c r="AW195" s="235"/>
      <c r="AX195" s="235"/>
      <c r="AY195" s="235"/>
      <c r="AZ195" s="235"/>
      <c r="BA195" s="235"/>
      <c r="BB195" s="235"/>
      <c r="BC195" s="235"/>
      <c r="BD195" s="235"/>
      <c r="BE195" s="235"/>
      <c r="BF195" s="235"/>
      <c r="BG195" s="235"/>
      <c r="BH195" s="235"/>
      <c r="BI195" s="235"/>
      <c r="BJ195" s="235"/>
      <c r="BK195" s="235"/>
      <c r="BL195" s="235"/>
      <c r="BM195" s="235"/>
      <c r="BN195" s="235"/>
      <c r="BO195" s="235"/>
      <c r="BP195" s="235"/>
      <c r="BQ195" s="235"/>
      <c r="BR195" s="235"/>
      <c r="BS195" s="235"/>
      <c r="BT195" s="235"/>
      <c r="BU195" s="235"/>
      <c r="BV195" s="235"/>
      <c r="BW195" s="235"/>
    </row>
    <row r="196" spans="1:78" ht="12" customHeight="1" x14ac:dyDescent="0.35">
      <c r="A196" s="235"/>
      <c r="B196" s="235"/>
      <c r="C196" s="235"/>
      <c r="D196" s="235"/>
      <c r="E196" s="235"/>
      <c r="F196" s="235"/>
      <c r="G196" s="235"/>
      <c r="H196" s="235"/>
      <c r="I196" s="235"/>
      <c r="J196" s="235"/>
      <c r="K196" s="235"/>
      <c r="L196" s="235"/>
      <c r="M196" s="235"/>
      <c r="N196" s="235"/>
      <c r="O196" s="235"/>
      <c r="P196" s="235"/>
      <c r="Q196" s="235"/>
      <c r="R196" s="235"/>
      <c r="S196" s="235"/>
      <c r="T196" s="235"/>
      <c r="U196" s="235"/>
      <c r="V196" s="235"/>
      <c r="W196" s="235"/>
      <c r="X196" s="235"/>
      <c r="Y196" s="235"/>
      <c r="Z196" s="235"/>
      <c r="AA196" s="235"/>
      <c r="AB196" s="235"/>
      <c r="AC196" s="235"/>
      <c r="AD196" s="235"/>
      <c r="AE196" s="235"/>
      <c r="AF196" s="235"/>
      <c r="AG196" s="235"/>
      <c r="AH196" s="235"/>
      <c r="AI196" s="235"/>
      <c r="AJ196" s="235"/>
      <c r="AK196" s="235"/>
      <c r="AL196" s="235"/>
      <c r="AM196" s="235"/>
      <c r="AN196" s="235"/>
      <c r="AO196" s="235"/>
      <c r="AP196" s="235"/>
      <c r="AQ196" s="235"/>
      <c r="AR196" s="235"/>
      <c r="AS196" s="235"/>
      <c r="AT196" s="235"/>
      <c r="AU196" s="235"/>
      <c r="AV196" s="235"/>
      <c r="AW196" s="235"/>
      <c r="AX196" s="235"/>
      <c r="AY196" s="235"/>
      <c r="AZ196" s="235"/>
      <c r="BA196" s="235"/>
      <c r="BB196" s="235"/>
      <c r="BC196" s="235"/>
      <c r="BD196" s="235"/>
      <c r="BE196" s="235"/>
      <c r="BF196" s="235"/>
      <c r="BG196" s="235"/>
      <c r="BH196" s="235"/>
      <c r="BI196" s="235"/>
      <c r="BJ196" s="235"/>
      <c r="BK196" s="235"/>
      <c r="BL196" s="235"/>
      <c r="BM196" s="235"/>
      <c r="BN196" s="235"/>
      <c r="BO196" s="235"/>
      <c r="BP196" s="235"/>
      <c r="BQ196" s="235"/>
      <c r="BR196" s="235"/>
      <c r="BS196" s="235"/>
      <c r="BT196" s="235"/>
      <c r="BU196" s="235"/>
      <c r="BV196" s="235"/>
      <c r="BW196" s="235"/>
    </row>
    <row r="197" spans="1:78" ht="12" customHeight="1" x14ac:dyDescent="0.35">
      <c r="BX197" s="7"/>
      <c r="BY197" s="7"/>
      <c r="BZ197" s="7"/>
    </row>
    <row r="198" spans="1:78" ht="12" customHeight="1" outlineLevel="1" x14ac:dyDescent="0.35">
      <c r="A198" s="225" t="s">
        <v>11</v>
      </c>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c r="Z198" s="6"/>
      <c r="AA198" s="6"/>
      <c r="AB198" s="6"/>
      <c r="AC198" s="6"/>
      <c r="AD198" s="6"/>
      <c r="AE198" s="6"/>
      <c r="AF198" s="6"/>
      <c r="AG198" s="6"/>
      <c r="AH198" s="6"/>
      <c r="AI198" s="6"/>
      <c r="AJ198" s="226" t="s">
        <v>5</v>
      </c>
      <c r="AK198" s="226"/>
      <c r="AL198" s="226"/>
      <c r="AM198" s="226"/>
      <c r="AN198" s="226"/>
      <c r="AO198" s="226"/>
      <c r="AP198" s="226"/>
      <c r="AQ198" s="226"/>
      <c r="AR198" s="226"/>
      <c r="AS198" s="226"/>
      <c r="AT198" s="232">
        <f>VLOOKUP('State Detail'!BM$7,'Int Data - Case 4'!A1:Y55,6,FALSE)</f>
        <v>19.5</v>
      </c>
      <c r="AU198" s="232"/>
      <c r="BX198" s="7"/>
      <c r="BY198" s="7"/>
      <c r="BZ198" s="7"/>
    </row>
    <row r="199" spans="1:78" ht="12" customHeight="1" outlineLevel="1" x14ac:dyDescent="0.35">
      <c r="A199" s="225"/>
      <c r="B199" s="225"/>
      <c r="C199" s="225"/>
      <c r="D199" s="225"/>
      <c r="E199" s="225"/>
      <c r="F199" s="225"/>
      <c r="G199" s="225"/>
      <c r="H199" s="225"/>
      <c r="I199" s="225"/>
      <c r="J199" s="225"/>
      <c r="K199" s="225"/>
      <c r="L199" s="225"/>
      <c r="M199" s="225"/>
      <c r="N199" s="225"/>
      <c r="O199" s="225"/>
      <c r="P199" s="225"/>
      <c r="Q199" s="225"/>
      <c r="R199" s="225"/>
      <c r="S199" s="225"/>
      <c r="T199" s="225"/>
      <c r="U199" s="225"/>
      <c r="V199" s="225"/>
      <c r="W199" s="225"/>
      <c r="X199" s="225"/>
      <c r="Y199" s="225"/>
      <c r="Z199" s="6"/>
      <c r="AA199" s="6"/>
      <c r="AB199" s="6"/>
      <c r="AC199" s="6"/>
      <c r="AD199" s="6"/>
      <c r="AE199" s="6"/>
      <c r="AF199" s="6"/>
      <c r="AG199" s="6"/>
      <c r="AH199" s="6"/>
      <c r="AI199" s="6"/>
      <c r="AJ199" s="226"/>
      <c r="AK199" s="226"/>
      <c r="AL199" s="226"/>
      <c r="AM199" s="226"/>
      <c r="AN199" s="226"/>
      <c r="AO199" s="226"/>
      <c r="AP199" s="226"/>
      <c r="AQ199" s="226"/>
      <c r="AR199" s="226"/>
      <c r="AS199" s="226"/>
      <c r="AT199" s="232"/>
      <c r="AU199" s="232"/>
    </row>
    <row r="200" spans="1:78" ht="12" customHeight="1" outlineLevel="1" x14ac:dyDescent="0.35">
      <c r="A200" s="5"/>
      <c r="B200" s="5"/>
      <c r="C200" s="5"/>
      <c r="D200" s="5"/>
      <c r="E200" s="5"/>
      <c r="F200" s="5"/>
      <c r="G200" s="5"/>
      <c r="H200" s="5"/>
      <c r="I200" s="5"/>
      <c r="J200" s="5"/>
      <c r="K200" s="5"/>
      <c r="L200" s="5"/>
      <c r="M200" s="5"/>
      <c r="N200" s="5"/>
      <c r="O200" s="5"/>
      <c r="P200" s="5"/>
      <c r="Q200" s="5"/>
      <c r="R200" s="5"/>
      <c r="S200" s="5"/>
      <c r="T200" s="5"/>
      <c r="U200" s="5"/>
      <c r="V200" s="5"/>
      <c r="AJ200" s="13"/>
      <c r="AK200" s="13"/>
      <c r="AL200" s="13"/>
      <c r="AM200" s="13"/>
      <c r="AN200" s="13"/>
      <c r="AO200" s="13"/>
      <c r="AP200" s="13"/>
      <c r="AQ200" s="13"/>
      <c r="AR200" s="13"/>
      <c r="AS200" s="13"/>
      <c r="AT200" s="3"/>
      <c r="AU200" s="3"/>
    </row>
    <row r="201" spans="1:78" ht="12" customHeight="1" outlineLevel="1" x14ac:dyDescent="0.35">
      <c r="A201" s="5"/>
      <c r="B201" s="5"/>
      <c r="C201" s="5"/>
      <c r="D201" s="5"/>
      <c r="E201" s="5"/>
      <c r="F201" s="5"/>
      <c r="G201" s="5"/>
      <c r="H201" s="5"/>
      <c r="I201" s="5"/>
      <c r="J201" s="5"/>
      <c r="K201" s="5"/>
      <c r="L201" s="5"/>
      <c r="M201" s="5"/>
      <c r="N201" s="5"/>
      <c r="O201" s="5"/>
      <c r="P201" s="5"/>
      <c r="Q201" s="5"/>
      <c r="R201" s="5"/>
      <c r="S201" s="5"/>
      <c r="T201" s="5"/>
      <c r="U201" s="5"/>
      <c r="V201" s="5"/>
      <c r="Y201" s="227" t="str">
        <f>BM$7</f>
        <v>Kentucky</v>
      </c>
      <c r="Z201" s="227"/>
      <c r="AA201" s="227"/>
      <c r="AB201" s="227"/>
      <c r="AC201" s="227"/>
      <c r="AD201" s="227"/>
      <c r="AE201" s="14"/>
      <c r="AF201" s="14"/>
      <c r="AG201" s="227" t="s">
        <v>14</v>
      </c>
      <c r="AH201" s="227"/>
      <c r="AI201" s="227"/>
      <c r="AJ201" s="227"/>
      <c r="AK201" s="227"/>
      <c r="AL201" s="227"/>
      <c r="AM201" s="14"/>
      <c r="AN201" s="14"/>
      <c r="AO201" s="227" t="s">
        <v>4</v>
      </c>
      <c r="AP201" s="227"/>
      <c r="AQ201" s="227"/>
      <c r="AR201" s="227"/>
      <c r="AS201" s="227"/>
      <c r="AT201" s="227"/>
    </row>
    <row r="202" spans="1:78" ht="12" customHeight="1" outlineLevel="1" x14ac:dyDescent="0.35">
      <c r="Y202" s="228"/>
      <c r="Z202" s="228"/>
      <c r="AA202" s="228"/>
      <c r="AB202" s="228"/>
      <c r="AC202" s="228"/>
      <c r="AD202" s="228"/>
      <c r="AE202" s="15"/>
      <c r="AF202" s="15"/>
      <c r="AG202" s="228"/>
      <c r="AH202" s="228"/>
      <c r="AI202" s="228"/>
      <c r="AJ202" s="228"/>
      <c r="AK202" s="228"/>
      <c r="AL202" s="228"/>
      <c r="AM202" s="15"/>
      <c r="AN202" s="15"/>
      <c r="AO202" s="228"/>
      <c r="AP202" s="228"/>
      <c r="AQ202" s="228"/>
      <c r="AR202" s="228"/>
      <c r="AS202" s="228"/>
      <c r="AT202" s="228"/>
    </row>
    <row r="203" spans="1:78" ht="12" customHeight="1" outlineLevel="1" x14ac:dyDescent="0.35">
      <c r="C203" s="217" t="s">
        <v>827</v>
      </c>
      <c r="D203" s="217"/>
      <c r="E203" s="217"/>
      <c r="F203" s="217"/>
      <c r="G203" s="217"/>
      <c r="H203" s="217"/>
      <c r="I203" s="217"/>
      <c r="J203" s="217"/>
      <c r="K203" s="217"/>
      <c r="L203" s="217"/>
      <c r="M203" s="217"/>
      <c r="N203" s="217"/>
      <c r="O203" s="217"/>
      <c r="P203" s="217"/>
      <c r="Q203" s="217"/>
      <c r="R203" s="217"/>
      <c r="S203" s="217"/>
      <c r="T203" s="217"/>
      <c r="U203" s="217"/>
      <c r="V203" s="217"/>
      <c r="W203" s="10"/>
      <c r="X203" s="10"/>
      <c r="Y203" s="224" t="str">
        <f>VLOOKUP(BM$7,RawData[],50,FALSE)</f>
        <v>Neither</v>
      </c>
      <c r="Z203" s="214"/>
      <c r="AA203" s="214"/>
      <c r="AB203" s="214"/>
      <c r="AC203" s="214"/>
      <c r="AD203" s="214"/>
      <c r="AE203" s="9"/>
      <c r="AF203" s="9"/>
      <c r="AG203" s="229">
        <f>COUNTIF(RawData[Existing partner and/or SHEEO?],"SHEEO")+COUNTIF(RawData[Existing partner and/or SHEEO?],"Existing Partner")+COUNTIF(RawData[Existing partner and/or SHEEO?],"Both")</f>
        <v>11</v>
      </c>
      <c r="AH203" s="229"/>
      <c r="AI203" s="229"/>
      <c r="AJ203" s="229"/>
      <c r="AK203" s="229"/>
      <c r="AL203" s="229"/>
      <c r="AM203" s="9"/>
      <c r="AN203" s="9"/>
      <c r="AO203" s="214" t="s">
        <v>214</v>
      </c>
      <c r="AP203" s="214"/>
      <c r="AQ203" s="214"/>
      <c r="AR203" s="214"/>
      <c r="AS203" s="214"/>
      <c r="AT203" s="214"/>
    </row>
    <row r="204" spans="1:78" ht="19" customHeight="1" outlineLevel="1" x14ac:dyDescent="0.35">
      <c r="C204" s="217"/>
      <c r="D204" s="217"/>
      <c r="E204" s="217"/>
      <c r="F204" s="217"/>
      <c r="G204" s="217"/>
      <c r="H204" s="217"/>
      <c r="I204" s="217"/>
      <c r="J204" s="217"/>
      <c r="K204" s="217"/>
      <c r="L204" s="217"/>
      <c r="M204" s="217"/>
      <c r="N204" s="217"/>
      <c r="O204" s="217"/>
      <c r="P204" s="217"/>
      <c r="Q204" s="217"/>
      <c r="R204" s="217"/>
      <c r="S204" s="217"/>
      <c r="T204" s="217"/>
      <c r="U204" s="217"/>
      <c r="V204" s="217"/>
      <c r="W204" s="10"/>
      <c r="X204" s="10"/>
      <c r="Y204" s="214"/>
      <c r="Z204" s="214"/>
      <c r="AA204" s="214"/>
      <c r="AB204" s="214"/>
      <c r="AC204" s="214"/>
      <c r="AD204" s="214"/>
      <c r="AE204" s="9"/>
      <c r="AF204" s="9"/>
      <c r="AG204" s="229"/>
      <c r="AH204" s="229"/>
      <c r="AI204" s="229"/>
      <c r="AJ204" s="229"/>
      <c r="AK204" s="229"/>
      <c r="AL204" s="229"/>
      <c r="AM204" s="9"/>
      <c r="AN204" s="9"/>
      <c r="AO204" s="214"/>
      <c r="AP204" s="214"/>
      <c r="AQ204" s="214"/>
      <c r="AR204" s="214"/>
      <c r="AS204" s="214"/>
      <c r="AT204" s="214"/>
    </row>
    <row r="205" spans="1:78" ht="12" customHeight="1" outlineLevel="1" x14ac:dyDescent="0.35">
      <c r="C205" s="4"/>
      <c r="D205" s="4"/>
      <c r="E205" s="4"/>
      <c r="F205" s="4"/>
      <c r="G205" s="4"/>
      <c r="H205" s="4"/>
      <c r="I205" s="4"/>
      <c r="J205" s="4"/>
      <c r="K205" s="4"/>
      <c r="L205" s="4"/>
      <c r="M205" s="4"/>
      <c r="N205" s="4"/>
      <c r="O205" s="4"/>
      <c r="P205" s="4"/>
      <c r="Q205" s="4"/>
      <c r="R205" s="4"/>
      <c r="S205" s="4"/>
      <c r="T205" s="4"/>
      <c r="U205" s="4"/>
      <c r="V205" s="4"/>
      <c r="Z205" s="8"/>
      <c r="AA205" s="8"/>
      <c r="AB205" s="8"/>
      <c r="AC205" s="8"/>
      <c r="AD205" s="8"/>
      <c r="AE205" s="8"/>
      <c r="AF205" s="8"/>
      <c r="AG205" s="8"/>
      <c r="AH205" s="8"/>
      <c r="AI205" s="8"/>
      <c r="AJ205" s="8"/>
      <c r="AK205" s="8"/>
      <c r="AL205" s="8"/>
      <c r="AM205" s="8"/>
      <c r="AN205" s="8"/>
      <c r="AO205" s="8"/>
      <c r="AP205" s="8"/>
      <c r="AQ205" s="8"/>
    </row>
    <row r="206" spans="1:78" ht="12" customHeight="1" outlineLevel="1" x14ac:dyDescent="0.35">
      <c r="Z206" s="8"/>
      <c r="AA206" s="8"/>
      <c r="AB206" s="8"/>
      <c r="AC206" s="8"/>
      <c r="AD206" s="8"/>
      <c r="AE206" s="8"/>
      <c r="AF206" s="8"/>
      <c r="AG206" s="8"/>
      <c r="AH206" s="8"/>
      <c r="AI206" s="8"/>
      <c r="AJ206" s="8"/>
      <c r="AK206" s="8"/>
      <c r="AL206" s="8"/>
      <c r="AM206" s="8"/>
      <c r="AN206" s="8"/>
      <c r="AO206" s="8"/>
      <c r="AP206" s="8"/>
      <c r="AQ206" s="8"/>
    </row>
    <row r="207" spans="1:78" ht="12" customHeight="1" outlineLevel="1" x14ac:dyDescent="0.35">
      <c r="C207" s="219" t="s">
        <v>825</v>
      </c>
      <c r="D207" s="219"/>
      <c r="E207" s="219"/>
      <c r="F207" s="219"/>
      <c r="G207" s="219"/>
      <c r="H207" s="219"/>
      <c r="I207" s="219"/>
      <c r="J207" s="219"/>
      <c r="K207" s="219"/>
      <c r="L207" s="219"/>
      <c r="M207" s="219"/>
      <c r="N207" s="219"/>
      <c r="O207" s="219"/>
      <c r="P207" s="219"/>
      <c r="Q207" s="219"/>
      <c r="R207" s="219"/>
      <c r="S207" s="219"/>
      <c r="T207" s="219"/>
      <c r="U207" s="219"/>
      <c r="V207" s="219"/>
      <c r="W207" s="10"/>
      <c r="X207" s="10"/>
      <c r="Y207" s="244" t="str">
        <f>IF(ISBLANK(VLOOKUP(BM$7,RawData[],51,FALSE)),"No contact noted",VLOOKUP(BM$7,RawData[],51,FALSE))</f>
        <v>No</v>
      </c>
      <c r="Z207" s="244"/>
      <c r="AA207" s="244"/>
      <c r="AB207" s="244"/>
      <c r="AC207" s="244"/>
      <c r="AD207" s="244"/>
      <c r="AE207" s="9"/>
      <c r="AF207" s="9"/>
      <c r="AG207" s="214" t="s">
        <v>214</v>
      </c>
      <c r="AH207" s="214"/>
      <c r="AI207" s="214"/>
      <c r="AJ207" s="214"/>
      <c r="AK207" s="214"/>
      <c r="AL207" s="214"/>
      <c r="AM207" s="9"/>
      <c r="AN207" s="9"/>
      <c r="AO207" s="214" t="s">
        <v>214</v>
      </c>
      <c r="AP207" s="214"/>
      <c r="AQ207" s="214"/>
      <c r="AR207" s="214"/>
      <c r="AS207" s="214"/>
      <c r="AT207" s="214"/>
    </row>
    <row r="208" spans="1:78" ht="12" customHeight="1" outlineLevel="1" x14ac:dyDescent="0.35">
      <c r="C208" s="219"/>
      <c r="D208" s="219"/>
      <c r="E208" s="219"/>
      <c r="F208" s="219"/>
      <c r="G208" s="219"/>
      <c r="H208" s="219"/>
      <c r="I208" s="219"/>
      <c r="J208" s="219"/>
      <c r="K208" s="219"/>
      <c r="L208" s="219"/>
      <c r="M208" s="219"/>
      <c r="N208" s="219"/>
      <c r="O208" s="219"/>
      <c r="P208" s="219"/>
      <c r="Q208" s="219"/>
      <c r="R208" s="219"/>
      <c r="S208" s="219"/>
      <c r="T208" s="219"/>
      <c r="U208" s="219"/>
      <c r="V208" s="219"/>
      <c r="W208" s="10"/>
      <c r="X208" s="10"/>
      <c r="Y208" s="244"/>
      <c r="Z208" s="244"/>
      <c r="AA208" s="244"/>
      <c r="AB208" s="244"/>
      <c r="AC208" s="244"/>
      <c r="AD208" s="244"/>
      <c r="AE208" s="9"/>
      <c r="AF208" s="9"/>
      <c r="AG208" s="214"/>
      <c r="AH208" s="214"/>
      <c r="AI208" s="214"/>
      <c r="AJ208" s="214"/>
      <c r="AK208" s="214"/>
      <c r="AL208" s="214"/>
      <c r="AM208" s="9"/>
      <c r="AN208" s="9"/>
      <c r="AO208" s="214"/>
      <c r="AP208" s="214"/>
      <c r="AQ208" s="214"/>
      <c r="AR208" s="214"/>
      <c r="AS208" s="214"/>
      <c r="AT208" s="214"/>
    </row>
    <row r="209" spans="1:75" ht="12" customHeight="1" outlineLevel="1" x14ac:dyDescent="0.35">
      <c r="Z209" s="8"/>
      <c r="AA209" s="8"/>
      <c r="AB209" s="8"/>
      <c r="AC209" s="8"/>
      <c r="AD209" s="8"/>
      <c r="AE209" s="8"/>
      <c r="AF209" s="8"/>
      <c r="AG209" s="8"/>
      <c r="AH209" s="8"/>
      <c r="AI209" s="8"/>
      <c r="AJ209" s="8"/>
      <c r="AK209" s="8"/>
      <c r="AL209" s="8"/>
      <c r="AM209" s="8"/>
      <c r="AN209" s="8"/>
      <c r="AO209" s="8"/>
      <c r="AP209" s="8"/>
      <c r="AQ209" s="8"/>
      <c r="BE209" s="11"/>
      <c r="BF209" s="7"/>
      <c r="BG209" s="7"/>
      <c r="BH209" s="7"/>
      <c r="BI209" s="7"/>
      <c r="BJ209" s="7"/>
      <c r="BK209" s="7"/>
      <c r="BL209" s="7"/>
      <c r="BM209" s="11"/>
      <c r="BN209" s="7"/>
      <c r="BO209" s="7"/>
      <c r="BP209" s="7"/>
      <c r="BQ209" s="7"/>
      <c r="BR209" s="7"/>
      <c r="BS209" s="7"/>
      <c r="BT209" s="7"/>
      <c r="BU209" s="7"/>
      <c r="BV209" s="7"/>
      <c r="BW209" s="7"/>
    </row>
    <row r="210" spans="1:75" ht="12" customHeight="1" outlineLevel="1" x14ac:dyDescent="0.35">
      <c r="BE210" s="7"/>
      <c r="BF210" s="7"/>
      <c r="BG210" s="7"/>
      <c r="BH210" s="7"/>
      <c r="BI210" s="7"/>
      <c r="BJ210" s="7"/>
      <c r="BK210" s="7"/>
      <c r="BL210" s="7"/>
      <c r="BM210" s="7"/>
      <c r="BN210" s="7"/>
      <c r="BO210" s="7"/>
      <c r="BP210" s="7"/>
      <c r="BQ210" s="7"/>
      <c r="BR210" s="7"/>
      <c r="BS210" s="7"/>
      <c r="BT210" s="7"/>
      <c r="BU210" s="7"/>
      <c r="BV210" s="7"/>
      <c r="BW210" s="7"/>
    </row>
    <row r="211" spans="1:75" ht="12" customHeight="1" outlineLevel="1" x14ac:dyDescent="0.35">
      <c r="A211" s="225" t="s">
        <v>12</v>
      </c>
      <c r="B211" s="225"/>
      <c r="C211" s="225"/>
      <c r="D211" s="225"/>
      <c r="E211" s="225"/>
      <c r="F211" s="225"/>
      <c r="G211" s="225"/>
      <c r="H211" s="225"/>
      <c r="I211" s="225"/>
      <c r="J211" s="225"/>
      <c r="K211" s="225"/>
      <c r="L211" s="225"/>
      <c r="M211" s="225"/>
      <c r="N211" s="225"/>
      <c r="O211" s="225"/>
      <c r="P211" s="225"/>
      <c r="Q211" s="225"/>
      <c r="R211" s="225"/>
      <c r="S211" s="225"/>
      <c r="T211" s="225"/>
      <c r="U211" s="225"/>
      <c r="V211" s="225"/>
      <c r="W211" s="225"/>
      <c r="X211" s="225"/>
      <c r="Y211" s="225"/>
      <c r="Z211" s="225"/>
      <c r="AA211" s="225"/>
      <c r="AB211" s="225"/>
      <c r="AC211" s="225"/>
      <c r="AD211" s="6"/>
      <c r="AE211" s="6"/>
      <c r="AF211" s="6"/>
      <c r="AG211" s="6"/>
      <c r="AH211" s="6"/>
      <c r="AI211" s="6"/>
      <c r="AJ211" s="226" t="s">
        <v>5</v>
      </c>
      <c r="AK211" s="226"/>
      <c r="AL211" s="226"/>
      <c r="AM211" s="226"/>
      <c r="AN211" s="226"/>
      <c r="AO211" s="226"/>
      <c r="AP211" s="226"/>
      <c r="AQ211" s="226"/>
      <c r="AR211" s="226"/>
      <c r="AS211" s="226"/>
      <c r="AT211" s="232">
        <f>VLOOKUP('State Detail'!BM$7,'Int Data - Case 4'!A1:Y55,7,FALSE)</f>
        <v>45</v>
      </c>
      <c r="AU211" s="232"/>
      <c r="BF211" s="8"/>
      <c r="BG211" s="8"/>
      <c r="BH211" s="8"/>
      <c r="BI211" s="8"/>
      <c r="BJ211" s="8"/>
      <c r="BK211" s="8"/>
      <c r="BL211" s="8"/>
      <c r="BM211" s="8"/>
      <c r="BN211" s="8"/>
      <c r="BO211" s="8"/>
      <c r="BP211" s="8"/>
      <c r="BQ211" s="8"/>
      <c r="BR211" s="8"/>
      <c r="BS211" s="8"/>
      <c r="BT211" s="8"/>
      <c r="BU211" s="8"/>
      <c r="BV211" s="8"/>
      <c r="BW211" s="8"/>
    </row>
    <row r="212" spans="1:75" ht="12" customHeight="1" outlineLevel="1" x14ac:dyDescent="0.35">
      <c r="A212" s="225"/>
      <c r="B212" s="225"/>
      <c r="C212" s="225"/>
      <c r="D212" s="225"/>
      <c r="E212" s="225"/>
      <c r="F212" s="225"/>
      <c r="G212" s="225"/>
      <c r="H212" s="225"/>
      <c r="I212" s="225"/>
      <c r="J212" s="225"/>
      <c r="K212" s="225"/>
      <c r="L212" s="225"/>
      <c r="M212" s="225"/>
      <c r="N212" s="225"/>
      <c r="O212" s="225"/>
      <c r="P212" s="225"/>
      <c r="Q212" s="225"/>
      <c r="R212" s="225"/>
      <c r="S212" s="225"/>
      <c r="T212" s="225"/>
      <c r="U212" s="225"/>
      <c r="V212" s="225"/>
      <c r="W212" s="225"/>
      <c r="X212" s="225"/>
      <c r="Y212" s="225"/>
      <c r="Z212" s="225"/>
      <c r="AA212" s="225"/>
      <c r="AB212" s="225"/>
      <c r="AC212" s="225"/>
      <c r="AD212" s="6"/>
      <c r="AE212" s="6"/>
      <c r="AF212" s="6"/>
      <c r="AG212" s="6"/>
      <c r="AH212" s="6"/>
      <c r="AI212" s="6"/>
      <c r="AJ212" s="226"/>
      <c r="AK212" s="226"/>
      <c r="AL212" s="226"/>
      <c r="AM212" s="226"/>
      <c r="AN212" s="226"/>
      <c r="AO212" s="226"/>
      <c r="AP212" s="226"/>
      <c r="AQ212" s="226"/>
      <c r="AR212" s="226"/>
      <c r="AS212" s="226"/>
      <c r="AT212" s="232"/>
      <c r="AU212" s="232"/>
      <c r="BF212" s="8"/>
      <c r="BG212" s="8"/>
      <c r="BH212" s="8"/>
      <c r="BI212" s="8"/>
      <c r="BJ212" s="8"/>
      <c r="BK212" s="8"/>
      <c r="BL212" s="8"/>
      <c r="BM212" s="8"/>
      <c r="BN212" s="8"/>
      <c r="BO212" s="8"/>
      <c r="BP212" s="8"/>
      <c r="BQ212" s="8"/>
      <c r="BR212" s="8"/>
      <c r="BS212" s="8"/>
      <c r="BT212" s="8"/>
      <c r="BU212" s="8"/>
      <c r="BV212" s="8"/>
      <c r="BW212" s="8"/>
    </row>
    <row r="213" spans="1:75" ht="12" customHeight="1" outlineLevel="1" x14ac:dyDescent="0.35">
      <c r="A213" s="5"/>
      <c r="B213" s="5"/>
      <c r="C213" s="5"/>
      <c r="D213" s="5"/>
      <c r="E213" s="5"/>
      <c r="F213" s="5"/>
      <c r="G213" s="5"/>
      <c r="H213" s="5"/>
      <c r="I213" s="5"/>
      <c r="J213" s="5"/>
      <c r="K213" s="5"/>
      <c r="L213" s="5"/>
      <c r="M213" s="5"/>
      <c r="N213" s="5"/>
      <c r="O213" s="5"/>
      <c r="P213" s="5"/>
      <c r="Q213" s="5"/>
      <c r="R213" s="5"/>
      <c r="S213" s="5"/>
      <c r="T213" s="5"/>
      <c r="U213" s="5"/>
      <c r="V213" s="5"/>
      <c r="AJ213" s="13"/>
      <c r="AK213" s="13"/>
      <c r="AL213" s="13"/>
      <c r="AM213" s="13"/>
      <c r="AN213" s="13"/>
      <c r="AO213" s="13"/>
      <c r="AP213" s="13"/>
      <c r="AQ213" s="13"/>
      <c r="AR213" s="13"/>
      <c r="AS213" s="13"/>
      <c r="AT213" s="3"/>
      <c r="AU213" s="3"/>
      <c r="BF213" s="8"/>
      <c r="BG213" s="8"/>
      <c r="BH213" s="8"/>
      <c r="BI213" s="8"/>
      <c r="BJ213" s="8"/>
      <c r="BK213" s="8"/>
      <c r="BL213" s="8"/>
      <c r="BM213" s="8"/>
      <c r="BN213" s="8"/>
      <c r="BO213" s="8"/>
      <c r="BP213" s="8"/>
      <c r="BQ213" s="8"/>
      <c r="BR213" s="8"/>
      <c r="BS213" s="8"/>
      <c r="BT213" s="8"/>
      <c r="BU213" s="8"/>
      <c r="BV213" s="8"/>
      <c r="BW213" s="8"/>
    </row>
    <row r="214" spans="1:75" ht="12" customHeight="1" outlineLevel="1" x14ac:dyDescent="0.35">
      <c r="C214" s="5"/>
      <c r="D214" s="5"/>
      <c r="E214" s="5"/>
      <c r="F214" s="5"/>
      <c r="G214" s="5"/>
      <c r="H214" s="5"/>
      <c r="I214" s="5"/>
      <c r="J214" s="5"/>
      <c r="K214" s="5"/>
      <c r="L214" s="5"/>
      <c r="M214" s="5"/>
      <c r="N214" s="5"/>
      <c r="O214" s="5"/>
      <c r="P214" s="5"/>
      <c r="Q214" s="5"/>
      <c r="R214" s="5"/>
      <c r="S214" s="5"/>
      <c r="T214" s="5"/>
      <c r="U214" s="5"/>
      <c r="V214" s="5"/>
      <c r="Y214" s="227" t="str">
        <f>BM$7</f>
        <v>Kentucky</v>
      </c>
      <c r="Z214" s="227"/>
      <c r="AA214" s="227"/>
      <c r="AB214" s="227"/>
      <c r="AC214" s="227"/>
      <c r="AD214" s="227"/>
      <c r="AE214" s="14"/>
      <c r="AF214" s="14"/>
      <c r="AG214" s="227" t="s">
        <v>14</v>
      </c>
      <c r="AH214" s="227"/>
      <c r="AI214" s="227"/>
      <c r="AJ214" s="227"/>
      <c r="AK214" s="227"/>
      <c r="AL214" s="227"/>
      <c r="AM214" s="14"/>
      <c r="AN214" s="14"/>
      <c r="AO214" s="227" t="s">
        <v>4</v>
      </c>
      <c r="AP214" s="227"/>
      <c r="AQ214" s="227"/>
      <c r="AR214" s="227"/>
      <c r="AS214" s="227"/>
      <c r="AT214" s="227"/>
      <c r="BE214" s="7"/>
      <c r="BF214" s="7"/>
      <c r="BG214" s="7"/>
      <c r="BH214" s="7"/>
      <c r="BI214" s="7"/>
      <c r="BJ214" s="7"/>
      <c r="BK214" s="7"/>
      <c r="BL214" s="7"/>
      <c r="BM214" s="7"/>
      <c r="BN214" s="7"/>
      <c r="BO214" s="7"/>
      <c r="BP214" s="7"/>
      <c r="BQ214" s="7"/>
      <c r="BR214" s="7"/>
      <c r="BS214" s="7"/>
      <c r="BT214" s="7"/>
      <c r="BU214" s="7"/>
      <c r="BV214" s="7"/>
      <c r="BW214" s="7"/>
    </row>
    <row r="215" spans="1:75" ht="12" customHeight="1" outlineLevel="1" x14ac:dyDescent="0.35">
      <c r="Y215" s="228"/>
      <c r="Z215" s="228"/>
      <c r="AA215" s="228"/>
      <c r="AB215" s="228"/>
      <c r="AC215" s="228"/>
      <c r="AD215" s="228"/>
      <c r="AE215" s="15"/>
      <c r="AF215" s="15"/>
      <c r="AG215" s="228"/>
      <c r="AH215" s="228"/>
      <c r="AI215" s="228"/>
      <c r="AJ215" s="228"/>
      <c r="AK215" s="228"/>
      <c r="AL215" s="228"/>
      <c r="AM215" s="15"/>
      <c r="AN215" s="15"/>
      <c r="AO215" s="228"/>
      <c r="AP215" s="228"/>
      <c r="AQ215" s="228"/>
      <c r="AR215" s="228"/>
      <c r="AS215" s="228"/>
      <c r="AT215" s="228"/>
      <c r="BE215" s="7"/>
      <c r="BF215" s="7"/>
      <c r="BG215" s="7"/>
      <c r="BH215" s="7"/>
      <c r="BI215" s="7"/>
      <c r="BJ215" s="7"/>
      <c r="BK215" s="7"/>
      <c r="BL215" s="7"/>
      <c r="BM215" s="7"/>
      <c r="BN215" s="7"/>
      <c r="BO215" s="7"/>
      <c r="BP215" s="7"/>
      <c r="BQ215" s="7"/>
      <c r="BR215" s="7"/>
      <c r="BS215" s="7"/>
      <c r="BT215" s="7"/>
      <c r="BU215" s="7"/>
      <c r="BV215" s="7"/>
      <c r="BW215" s="7"/>
    </row>
    <row r="216" spans="1:75" ht="12" customHeight="1" outlineLevel="1" x14ac:dyDescent="0.35">
      <c r="C216" s="219" t="s">
        <v>13</v>
      </c>
      <c r="D216" s="219"/>
      <c r="E216" s="219"/>
      <c r="F216" s="219"/>
      <c r="G216" s="219"/>
      <c r="H216" s="219"/>
      <c r="I216" s="219"/>
      <c r="J216" s="219"/>
      <c r="K216" s="219"/>
      <c r="L216" s="219"/>
      <c r="M216" s="219"/>
      <c r="N216" s="219"/>
      <c r="O216" s="219"/>
      <c r="P216" s="219"/>
      <c r="Q216" s="219"/>
      <c r="R216" s="219"/>
      <c r="S216" s="219"/>
      <c r="T216" s="219"/>
      <c r="U216" s="219"/>
      <c r="V216" s="219"/>
      <c r="W216" s="10"/>
      <c r="X216" s="10"/>
      <c r="Y216" s="224" t="str">
        <f>VLOOKUP(BM$7,RawData[],53,FALSE)</f>
        <v>Yes</v>
      </c>
      <c r="Z216" s="214"/>
      <c r="AA216" s="214"/>
      <c r="AB216" s="214"/>
      <c r="AC216" s="214"/>
      <c r="AD216" s="214"/>
      <c r="AE216" s="9"/>
      <c r="AF216" s="9"/>
      <c r="AG216" s="229">
        <f>COUNTIF(RawData[Performance-based funding -- 2yr?],"Yes")</f>
        <v>28</v>
      </c>
      <c r="AH216" s="229"/>
      <c r="AI216" s="229"/>
      <c r="AJ216" s="229"/>
      <c r="AK216" s="229"/>
      <c r="AL216" s="229"/>
      <c r="AM216" s="9"/>
      <c r="AN216" s="9"/>
      <c r="AO216" s="214" t="s">
        <v>214</v>
      </c>
      <c r="AP216" s="214"/>
      <c r="AQ216" s="214"/>
      <c r="AR216" s="214"/>
      <c r="AS216" s="214"/>
      <c r="AT216" s="214"/>
      <c r="AZ216" s="12"/>
      <c r="BA216" s="12"/>
      <c r="BB216" s="12"/>
      <c r="BC216" s="12"/>
      <c r="BD216" s="12"/>
      <c r="BE216" s="12"/>
      <c r="BF216" s="12"/>
      <c r="BG216" s="12"/>
      <c r="BH216" s="12"/>
      <c r="BI216" s="12"/>
      <c r="BJ216" s="12"/>
      <c r="BK216" s="12"/>
      <c r="BL216" s="12"/>
      <c r="BM216" s="12"/>
      <c r="BN216" s="12"/>
      <c r="BO216" s="12"/>
      <c r="BP216" s="12"/>
      <c r="BQ216" s="12"/>
      <c r="BR216" s="12"/>
      <c r="BS216" s="12"/>
      <c r="BT216" s="12"/>
      <c r="BU216" s="12"/>
      <c r="BV216" s="12"/>
      <c r="BW216" s="12"/>
    </row>
    <row r="217" spans="1:75" ht="12" customHeight="1" outlineLevel="1" x14ac:dyDescent="0.35">
      <c r="C217" s="219"/>
      <c r="D217" s="219"/>
      <c r="E217" s="219"/>
      <c r="F217" s="219"/>
      <c r="G217" s="219"/>
      <c r="H217" s="219"/>
      <c r="I217" s="219"/>
      <c r="J217" s="219"/>
      <c r="K217" s="219"/>
      <c r="L217" s="219"/>
      <c r="M217" s="219"/>
      <c r="N217" s="219"/>
      <c r="O217" s="219"/>
      <c r="P217" s="219"/>
      <c r="Q217" s="219"/>
      <c r="R217" s="219"/>
      <c r="S217" s="219"/>
      <c r="T217" s="219"/>
      <c r="U217" s="219"/>
      <c r="V217" s="219"/>
      <c r="W217" s="10"/>
      <c r="X217" s="10"/>
      <c r="Y217" s="214"/>
      <c r="Z217" s="214"/>
      <c r="AA217" s="214"/>
      <c r="AB217" s="214"/>
      <c r="AC217" s="214"/>
      <c r="AD217" s="214"/>
      <c r="AE217" s="9"/>
      <c r="AF217" s="9"/>
      <c r="AG217" s="229"/>
      <c r="AH217" s="229"/>
      <c r="AI217" s="229"/>
      <c r="AJ217" s="229"/>
      <c r="AK217" s="229"/>
      <c r="AL217" s="229"/>
      <c r="AM217" s="9"/>
      <c r="AN217" s="9"/>
      <c r="AO217" s="214"/>
      <c r="AP217" s="214"/>
      <c r="AQ217" s="214"/>
      <c r="AR217" s="214"/>
      <c r="AS217" s="214"/>
      <c r="AT217" s="214"/>
      <c r="AY217" s="12"/>
      <c r="AZ217" s="12"/>
      <c r="BA217" s="12"/>
      <c r="BB217" s="12"/>
      <c r="BC217" s="12"/>
      <c r="BD217" s="12"/>
      <c r="BE217" s="12"/>
      <c r="BF217" s="12"/>
      <c r="BG217" s="12"/>
      <c r="BH217" s="12"/>
      <c r="BI217" s="12"/>
      <c r="BJ217" s="12"/>
      <c r="BK217" s="12"/>
      <c r="BL217" s="12"/>
      <c r="BM217" s="12"/>
      <c r="BN217" s="12"/>
      <c r="BO217" s="12"/>
      <c r="BP217" s="12"/>
      <c r="BQ217" s="12"/>
      <c r="BR217" s="12"/>
      <c r="BS217" s="12"/>
      <c r="BT217" s="12"/>
      <c r="BU217" s="12"/>
      <c r="BV217" s="12"/>
      <c r="BW217" s="12"/>
    </row>
    <row r="218" spans="1:75" ht="12" customHeight="1" outlineLevel="1" x14ac:dyDescent="0.35">
      <c r="C218" s="4"/>
      <c r="D218" s="4"/>
      <c r="E218" s="4"/>
      <c r="F218" s="4"/>
      <c r="G218" s="4"/>
      <c r="H218" s="4"/>
      <c r="I218" s="4"/>
      <c r="J218" s="4"/>
      <c r="K218" s="4"/>
      <c r="L218" s="4"/>
      <c r="M218" s="4"/>
      <c r="N218" s="4"/>
      <c r="O218" s="4"/>
      <c r="P218" s="4"/>
      <c r="Q218" s="4"/>
      <c r="R218" s="4"/>
      <c r="S218" s="4"/>
      <c r="T218" s="4"/>
      <c r="U218" s="4"/>
      <c r="V218" s="4"/>
      <c r="Z218" s="8"/>
      <c r="AA218" s="8"/>
      <c r="AB218" s="8"/>
      <c r="AC218" s="8"/>
      <c r="AD218" s="8"/>
      <c r="AE218" s="8"/>
      <c r="AF218" s="8"/>
      <c r="AG218" s="8"/>
      <c r="AH218" s="8"/>
      <c r="AI218" s="8"/>
      <c r="AJ218" s="8"/>
      <c r="AK218" s="8"/>
      <c r="AL218" s="8"/>
      <c r="AM218" s="8"/>
      <c r="AN218" s="8"/>
      <c r="AO218" s="8"/>
      <c r="AP218" s="8"/>
      <c r="AQ218" s="8"/>
      <c r="AY218" s="12"/>
      <c r="AZ218" s="12"/>
      <c r="BA218" s="12"/>
      <c r="BB218" s="12"/>
      <c r="BC218" s="12"/>
      <c r="BD218" s="12"/>
      <c r="BE218" s="12"/>
      <c r="BF218" s="12"/>
      <c r="BG218" s="12"/>
      <c r="BH218" s="12"/>
      <c r="BI218" s="12"/>
      <c r="BJ218" s="12"/>
      <c r="BK218" s="12"/>
      <c r="BL218" s="12"/>
      <c r="BM218" s="12"/>
      <c r="BN218" s="12"/>
      <c r="BO218" s="12"/>
      <c r="BP218" s="12"/>
      <c r="BQ218" s="12"/>
      <c r="BR218" s="12"/>
      <c r="BS218" s="12"/>
      <c r="BT218" s="12"/>
      <c r="BU218" s="12"/>
      <c r="BV218" s="12"/>
      <c r="BW218" s="12"/>
    </row>
    <row r="219" spans="1:75" ht="12" customHeight="1" outlineLevel="1" x14ac:dyDescent="0.35">
      <c r="C219" s="4"/>
      <c r="D219" s="4"/>
      <c r="E219" s="4"/>
      <c r="F219" s="4"/>
      <c r="G219" s="4"/>
      <c r="H219" s="4"/>
      <c r="I219" s="4"/>
      <c r="J219" s="4"/>
      <c r="K219" s="4"/>
      <c r="L219" s="4"/>
      <c r="M219" s="4"/>
      <c r="N219" s="4"/>
      <c r="O219" s="4"/>
      <c r="P219" s="4"/>
      <c r="Q219" s="4"/>
      <c r="R219" s="4"/>
      <c r="S219" s="4"/>
      <c r="T219" s="4"/>
      <c r="U219" s="4"/>
      <c r="V219" s="4"/>
      <c r="Z219" s="8"/>
      <c r="AA219" s="8"/>
      <c r="AB219" s="8"/>
      <c r="AC219" s="8"/>
      <c r="AD219" s="8"/>
      <c r="AE219" s="8"/>
      <c r="AF219" s="8"/>
      <c r="AG219" s="8"/>
      <c r="AH219" s="8"/>
      <c r="AI219" s="8"/>
      <c r="AJ219" s="8"/>
      <c r="AK219" s="8"/>
      <c r="AL219" s="8"/>
      <c r="AM219" s="8"/>
      <c r="AN219" s="8"/>
      <c r="AO219" s="8"/>
      <c r="AP219" s="8"/>
      <c r="AQ219" s="8"/>
      <c r="AY219" s="12"/>
      <c r="AZ219" s="12"/>
      <c r="BA219" s="12"/>
      <c r="BB219" s="12"/>
      <c r="BC219" s="12"/>
      <c r="BD219" s="12"/>
      <c r="BE219" s="12"/>
      <c r="BF219" s="12"/>
      <c r="BG219" s="12"/>
      <c r="BH219" s="12"/>
      <c r="BI219" s="12"/>
      <c r="BJ219" s="12"/>
      <c r="BK219" s="12"/>
      <c r="BL219" s="12"/>
      <c r="BM219" s="12"/>
      <c r="BN219" s="12"/>
      <c r="BO219" s="12"/>
      <c r="BP219" s="12"/>
      <c r="BQ219" s="12"/>
      <c r="BR219" s="12"/>
      <c r="BS219" s="12"/>
      <c r="BT219" s="12"/>
      <c r="BU219" s="12"/>
      <c r="BV219" s="12"/>
      <c r="BW219" s="12"/>
    </row>
    <row r="220" spans="1:75" ht="12" customHeight="1" outlineLevel="1" x14ac:dyDescent="0.35">
      <c r="C220" s="4"/>
      <c r="D220" s="4"/>
      <c r="E220" s="4"/>
      <c r="F220" s="4"/>
      <c r="G220" s="4"/>
      <c r="H220" s="4"/>
      <c r="I220" s="4"/>
      <c r="J220" s="4"/>
      <c r="K220" s="4"/>
      <c r="L220" s="4"/>
      <c r="M220" s="4"/>
      <c r="N220" s="4"/>
      <c r="O220" s="4"/>
      <c r="P220" s="4"/>
      <c r="Q220" s="4"/>
      <c r="R220" s="4"/>
      <c r="S220" s="215" t="s">
        <v>796</v>
      </c>
      <c r="T220" s="215"/>
      <c r="U220" s="215"/>
      <c r="V220" s="215"/>
      <c r="W220" s="215"/>
      <c r="X220" s="215"/>
      <c r="Y220" s="215"/>
      <c r="Z220" s="212" t="s">
        <v>648</v>
      </c>
      <c r="AA220" s="212"/>
      <c r="AB220" s="212"/>
      <c r="AC220" s="212"/>
      <c r="AD220" s="212"/>
      <c r="AE220" s="212"/>
      <c r="AF220" s="212"/>
      <c r="AG220" s="212" t="s">
        <v>642</v>
      </c>
      <c r="AH220" s="212"/>
      <c r="AI220" s="212"/>
      <c r="AJ220" s="212"/>
      <c r="AK220" s="212"/>
      <c r="AL220" s="212"/>
      <c r="AM220" s="212"/>
      <c r="AN220" s="212" t="s">
        <v>649</v>
      </c>
      <c r="AO220" s="212"/>
      <c r="AP220" s="212"/>
      <c r="AQ220" s="212"/>
      <c r="AR220" s="212"/>
      <c r="AS220" s="212"/>
      <c r="AT220" s="212"/>
      <c r="AW220" s="223" t="s">
        <v>222</v>
      </c>
      <c r="AX220" s="223"/>
      <c r="AY220" s="223"/>
      <c r="AZ220" s="223"/>
      <c r="BA220" s="223"/>
      <c r="BB220" s="223"/>
      <c r="BC220" s="223"/>
      <c r="BD220" s="223"/>
      <c r="BE220" s="223"/>
      <c r="BF220" s="223"/>
      <c r="BG220" s="223"/>
      <c r="BH220" s="223"/>
      <c r="BI220" s="223"/>
      <c r="BJ220" s="223"/>
      <c r="BK220" s="223"/>
      <c r="BL220" s="223"/>
      <c r="BM220" s="223"/>
      <c r="BN220" s="223"/>
      <c r="BO220" s="223"/>
      <c r="BP220" s="223"/>
      <c r="BQ220" s="223"/>
      <c r="BR220" s="222">
        <f>VLOOKUP(BM$7,'Int Data - Case 4'!A1:W97,10,FALSE)</f>
        <v>9</v>
      </c>
      <c r="BS220" s="222"/>
      <c r="BT220" s="222"/>
      <c r="BU220" s="222"/>
      <c r="BV220" s="222"/>
      <c r="BW220" s="222"/>
    </row>
    <row r="221" spans="1:75" ht="12" customHeight="1" outlineLevel="1" x14ac:dyDescent="0.35">
      <c r="C221" s="4"/>
      <c r="D221" s="4"/>
      <c r="E221" s="4"/>
      <c r="F221" s="4"/>
      <c r="G221" s="4"/>
      <c r="H221" s="4"/>
      <c r="I221" s="4"/>
      <c r="J221" s="4"/>
      <c r="K221" s="4"/>
      <c r="L221" s="4"/>
      <c r="M221" s="4"/>
      <c r="N221" s="4"/>
      <c r="O221" s="4"/>
      <c r="P221" s="4"/>
      <c r="Q221" s="4"/>
      <c r="R221" s="4"/>
      <c r="S221" s="215"/>
      <c r="T221" s="215"/>
      <c r="U221" s="215"/>
      <c r="V221" s="215"/>
      <c r="W221" s="215"/>
      <c r="X221" s="215"/>
      <c r="Y221" s="215"/>
      <c r="Z221" s="212"/>
      <c r="AA221" s="212"/>
      <c r="AB221" s="212"/>
      <c r="AC221" s="212"/>
      <c r="AD221" s="212"/>
      <c r="AE221" s="212"/>
      <c r="AF221" s="212"/>
      <c r="AG221" s="212"/>
      <c r="AH221" s="212"/>
      <c r="AI221" s="212"/>
      <c r="AJ221" s="212"/>
      <c r="AK221" s="212"/>
      <c r="AL221" s="212"/>
      <c r="AM221" s="212"/>
      <c r="AN221" s="212"/>
      <c r="AO221" s="212"/>
      <c r="AP221" s="212"/>
      <c r="AQ221" s="212"/>
      <c r="AR221" s="212"/>
      <c r="AS221" s="212"/>
      <c r="AT221" s="212"/>
      <c r="AW221" s="223"/>
      <c r="AX221" s="223"/>
      <c r="AY221" s="223"/>
      <c r="AZ221" s="223"/>
      <c r="BA221" s="223"/>
      <c r="BB221" s="223"/>
      <c r="BC221" s="223"/>
      <c r="BD221" s="223"/>
      <c r="BE221" s="223"/>
      <c r="BF221" s="223"/>
      <c r="BG221" s="223"/>
      <c r="BH221" s="223"/>
      <c r="BI221" s="223"/>
      <c r="BJ221" s="223"/>
      <c r="BK221" s="223"/>
      <c r="BL221" s="223"/>
      <c r="BM221" s="223"/>
      <c r="BN221" s="223"/>
      <c r="BO221" s="223"/>
      <c r="BP221" s="223"/>
      <c r="BQ221" s="223"/>
      <c r="BR221" s="222"/>
      <c r="BS221" s="222"/>
      <c r="BT221" s="222"/>
      <c r="BU221" s="222"/>
      <c r="BV221" s="222"/>
      <c r="BW221" s="222"/>
    </row>
    <row r="222" spans="1:75" ht="14.5" customHeight="1" outlineLevel="1" x14ac:dyDescent="0.35">
      <c r="S222" s="216"/>
      <c r="T222" s="216"/>
      <c r="U222" s="216"/>
      <c r="V222" s="216"/>
      <c r="W222" s="216"/>
      <c r="X222" s="216"/>
      <c r="Y222" s="216"/>
      <c r="Z222" s="213"/>
      <c r="AA222" s="213"/>
      <c r="AB222" s="213"/>
      <c r="AC222" s="213"/>
      <c r="AD222" s="213"/>
      <c r="AE222" s="213"/>
      <c r="AF222" s="213"/>
      <c r="AG222" s="213"/>
      <c r="AH222" s="213"/>
      <c r="AI222" s="213"/>
      <c r="AJ222" s="213"/>
      <c r="AK222" s="213"/>
      <c r="AL222" s="213"/>
      <c r="AM222" s="213"/>
      <c r="AN222" s="213"/>
      <c r="AO222" s="213"/>
      <c r="AP222" s="213"/>
      <c r="AQ222" s="213"/>
      <c r="AR222" s="213"/>
      <c r="AS222" s="213"/>
      <c r="AT222" s="213"/>
      <c r="AW222" s="223"/>
      <c r="AX222" s="223"/>
      <c r="AY222" s="223"/>
      <c r="AZ222" s="223"/>
      <c r="BA222" s="223"/>
      <c r="BB222" s="223"/>
      <c r="BC222" s="223"/>
      <c r="BD222" s="223"/>
      <c r="BE222" s="223"/>
      <c r="BF222" s="223"/>
      <c r="BG222" s="223"/>
      <c r="BH222" s="223"/>
      <c r="BI222" s="223"/>
      <c r="BJ222" s="223"/>
      <c r="BK222" s="223"/>
      <c r="BL222" s="223"/>
      <c r="BM222" s="223"/>
      <c r="BN222" s="223"/>
      <c r="BO222" s="223"/>
      <c r="BP222" s="223"/>
      <c r="BQ222" s="223"/>
      <c r="BR222" s="222"/>
      <c r="BS222" s="222"/>
      <c r="BT222" s="222"/>
      <c r="BU222" s="222"/>
      <c r="BV222" s="222"/>
      <c r="BW222" s="222"/>
    </row>
    <row r="223" spans="1:75" ht="14.5" customHeight="1" outlineLevel="1" x14ac:dyDescent="0.35">
      <c r="C223" s="217" t="s">
        <v>647</v>
      </c>
      <c r="D223" s="217"/>
      <c r="E223" s="217"/>
      <c r="F223" s="217"/>
      <c r="G223" s="217"/>
      <c r="H223" s="217"/>
      <c r="I223" s="217"/>
      <c r="J223" s="217"/>
      <c r="K223" s="217"/>
      <c r="L223" s="217"/>
      <c r="M223" s="218"/>
      <c r="N223" s="218"/>
      <c r="O223" s="218"/>
      <c r="P223" s="218"/>
      <c r="Q223" s="218"/>
      <c r="R223" s="9"/>
      <c r="S223" s="214" t="str">
        <f>VLOOKUP($BM$7,RawData[],55,FALSE)</f>
        <v>Yes</v>
      </c>
      <c r="T223" s="214"/>
      <c r="U223" s="214"/>
      <c r="V223" s="214"/>
      <c r="W223" s="214"/>
      <c r="X223" s="214"/>
      <c r="Y223" s="214"/>
      <c r="Z223" s="214" t="str">
        <f>VLOOKUP($BM$7,RawData[],58,FALSE)</f>
        <v>Yes</v>
      </c>
      <c r="AA223" s="214"/>
      <c r="AB223" s="214"/>
      <c r="AC223" s="214"/>
      <c r="AD223" s="214"/>
      <c r="AE223" s="214"/>
      <c r="AF223" s="214"/>
      <c r="AG223" s="214" t="str">
        <f>VLOOKUP($BM$7,RawData[],57,FALSE)</f>
        <v>Yes</v>
      </c>
      <c r="AH223" s="214"/>
      <c r="AI223" s="214"/>
      <c r="AJ223" s="214"/>
      <c r="AK223" s="214"/>
      <c r="AL223" s="214"/>
      <c r="AM223" s="214"/>
      <c r="AN223" s="214" t="str">
        <f>VLOOKUP($BM$7,RawData[],56,FALSE)</f>
        <v>Yes</v>
      </c>
      <c r="AO223" s="214"/>
      <c r="AP223" s="214"/>
      <c r="AQ223" s="214"/>
      <c r="AR223" s="214"/>
      <c r="AS223" s="214"/>
      <c r="AT223" s="214"/>
    </row>
    <row r="224" spans="1:75" ht="12" customHeight="1" outlineLevel="1" x14ac:dyDescent="0.35">
      <c r="C224" s="217"/>
      <c r="D224" s="217"/>
      <c r="E224" s="217"/>
      <c r="F224" s="217"/>
      <c r="G224" s="217"/>
      <c r="H224" s="217"/>
      <c r="I224" s="217"/>
      <c r="J224" s="217"/>
      <c r="K224" s="217"/>
      <c r="L224" s="217"/>
      <c r="M224" s="218"/>
      <c r="N224" s="218"/>
      <c r="O224" s="218"/>
      <c r="P224" s="218"/>
      <c r="Q224" s="218"/>
      <c r="R224" s="9"/>
      <c r="S224" s="214"/>
      <c r="T224" s="214"/>
      <c r="U224" s="214"/>
      <c r="V224" s="214"/>
      <c r="W224" s="214"/>
      <c r="X224" s="214"/>
      <c r="Y224" s="214"/>
      <c r="Z224" s="214"/>
      <c r="AA224" s="214"/>
      <c r="AB224" s="214"/>
      <c r="AC224" s="214"/>
      <c r="AD224" s="214"/>
      <c r="AE224" s="214"/>
      <c r="AF224" s="214"/>
      <c r="AG224" s="214"/>
      <c r="AH224" s="214"/>
      <c r="AI224" s="214"/>
      <c r="AJ224" s="214"/>
      <c r="AK224" s="214"/>
      <c r="AL224" s="214"/>
      <c r="AM224" s="214"/>
      <c r="AN224" s="214"/>
      <c r="AO224" s="214"/>
      <c r="AP224" s="214"/>
      <c r="AQ224" s="214"/>
      <c r="AR224" s="214"/>
      <c r="AS224" s="214"/>
      <c r="AT224" s="214"/>
    </row>
    <row r="225" spans="1:75" ht="12" customHeight="1" outlineLevel="1" x14ac:dyDescent="0.35">
      <c r="J225" s="2"/>
      <c r="K225" s="2"/>
      <c r="L225" s="2"/>
      <c r="Z225" s="8"/>
      <c r="AA225" s="8"/>
      <c r="AB225" s="8"/>
      <c r="AC225" s="8"/>
      <c r="AD225" s="8"/>
      <c r="AE225" s="8"/>
      <c r="AF225" s="8"/>
      <c r="AG225" s="8"/>
      <c r="AH225" s="8"/>
      <c r="AI225" s="8"/>
      <c r="AJ225" s="8"/>
      <c r="AK225" s="8"/>
      <c r="AL225" s="8"/>
      <c r="AM225" s="8"/>
      <c r="AN225" s="8"/>
      <c r="AO225" s="8"/>
      <c r="AP225" s="8"/>
      <c r="AQ225" s="8"/>
    </row>
    <row r="226" spans="1:75" ht="12" customHeight="1" outlineLevel="1" x14ac:dyDescent="0.35"/>
    <row r="227" spans="1:75" ht="12" customHeight="1" outlineLevel="1" x14ac:dyDescent="0.35">
      <c r="A227" s="225" t="s">
        <v>643</v>
      </c>
      <c r="B227" s="225"/>
      <c r="C227" s="225"/>
      <c r="D227" s="225"/>
      <c r="E227" s="225"/>
      <c r="F227" s="225"/>
      <c r="G227" s="225"/>
      <c r="H227" s="225"/>
      <c r="I227" s="225"/>
      <c r="J227" s="225"/>
      <c r="K227" s="225"/>
      <c r="L227" s="225"/>
      <c r="M227" s="225"/>
      <c r="N227" s="225"/>
      <c r="O227" s="225"/>
      <c r="P227" s="225"/>
      <c r="Q227" s="225"/>
      <c r="R227" s="225"/>
      <c r="S227" s="225"/>
      <c r="T227" s="225"/>
      <c r="U227" s="225"/>
      <c r="V227" s="225"/>
      <c r="W227" s="6"/>
      <c r="X227" s="6"/>
      <c r="Y227" s="6"/>
      <c r="Z227" s="6"/>
      <c r="AA227" s="6"/>
      <c r="AB227" s="6"/>
      <c r="AC227" s="6"/>
      <c r="AD227" s="6"/>
      <c r="AE227" s="6"/>
      <c r="AF227" s="6"/>
      <c r="AG227" s="6"/>
      <c r="AH227" s="6"/>
      <c r="AI227" s="6"/>
      <c r="AJ227" s="226"/>
      <c r="AK227" s="226"/>
      <c r="AL227" s="226"/>
      <c r="AM227" s="226"/>
      <c r="AN227" s="226"/>
      <c r="AO227" s="226"/>
      <c r="AP227" s="226"/>
      <c r="AQ227" s="226"/>
      <c r="AR227" s="226"/>
      <c r="AS227" s="226"/>
      <c r="AT227" s="6"/>
      <c r="AU227" s="6"/>
      <c r="BF227" s="8"/>
      <c r="BG227" s="8"/>
      <c r="BH227" s="8"/>
      <c r="BI227" s="8"/>
      <c r="BJ227" s="8"/>
      <c r="BK227" s="8"/>
      <c r="BL227" s="8"/>
      <c r="BM227" s="8"/>
      <c r="BN227" s="8"/>
      <c r="BO227" s="8"/>
      <c r="BP227" s="8"/>
      <c r="BQ227" s="8"/>
      <c r="BR227" s="8"/>
      <c r="BS227" s="8"/>
      <c r="BT227" s="8"/>
      <c r="BU227" s="8"/>
      <c r="BV227" s="8"/>
      <c r="BW227" s="8"/>
    </row>
    <row r="228" spans="1:75" ht="12" customHeight="1" outlineLevel="1" x14ac:dyDescent="0.35">
      <c r="A228" s="225"/>
      <c r="B228" s="225"/>
      <c r="C228" s="225"/>
      <c r="D228" s="225"/>
      <c r="E228" s="225"/>
      <c r="F228" s="225"/>
      <c r="G228" s="225"/>
      <c r="H228" s="225"/>
      <c r="I228" s="225"/>
      <c r="J228" s="225"/>
      <c r="K228" s="225"/>
      <c r="L228" s="225"/>
      <c r="M228" s="225"/>
      <c r="N228" s="225"/>
      <c r="O228" s="225"/>
      <c r="P228" s="225"/>
      <c r="Q228" s="225"/>
      <c r="R228" s="225"/>
      <c r="S228" s="225"/>
      <c r="T228" s="225"/>
      <c r="U228" s="225"/>
      <c r="V228" s="225"/>
      <c r="W228" s="6"/>
      <c r="X228" s="6"/>
      <c r="Y228" s="6"/>
      <c r="Z228" s="6"/>
      <c r="AA228" s="6"/>
      <c r="AB228" s="6"/>
      <c r="AC228" s="6"/>
      <c r="AD228" s="6"/>
      <c r="AE228" s="6"/>
      <c r="AF228" s="6"/>
      <c r="AG228" s="6"/>
      <c r="AH228" s="6"/>
      <c r="AI228" s="6"/>
      <c r="AJ228" s="226"/>
      <c r="AK228" s="226"/>
      <c r="AL228" s="226"/>
      <c r="AM228" s="226"/>
      <c r="AN228" s="226"/>
      <c r="AO228" s="226"/>
      <c r="AP228" s="226"/>
      <c r="AQ228" s="226"/>
      <c r="AR228" s="226"/>
      <c r="AS228" s="226"/>
      <c r="AT228" s="6"/>
      <c r="AU228" s="6"/>
      <c r="BF228" s="8"/>
      <c r="BG228" s="8"/>
      <c r="BH228" s="8"/>
      <c r="BI228" s="8"/>
      <c r="BJ228" s="8"/>
      <c r="BK228" s="8"/>
      <c r="BL228" s="8"/>
      <c r="BM228" s="8"/>
      <c r="BN228" s="8"/>
      <c r="BO228" s="8"/>
      <c r="BP228" s="8"/>
      <c r="BQ228" s="8"/>
      <c r="BR228" s="8"/>
      <c r="BS228" s="8"/>
      <c r="BT228" s="8"/>
      <c r="BU228" s="8"/>
      <c r="BV228" s="8"/>
      <c r="BW228" s="8"/>
    </row>
    <row r="229" spans="1:75" ht="12" customHeight="1" outlineLevel="1" x14ac:dyDescent="0.35">
      <c r="J229" s="2"/>
      <c r="K229" s="2"/>
      <c r="L229" s="2"/>
      <c r="Z229" s="8"/>
      <c r="AA229" s="8"/>
      <c r="AB229" s="8"/>
      <c r="AC229" s="8"/>
      <c r="AD229" s="8"/>
      <c r="AE229" s="8"/>
      <c r="AF229" s="8"/>
      <c r="AG229" s="8"/>
      <c r="AH229" s="8"/>
      <c r="AI229" s="8"/>
      <c r="AJ229" s="8"/>
      <c r="AK229" s="8"/>
      <c r="AL229" s="8"/>
      <c r="AM229" s="8"/>
      <c r="AN229" s="8"/>
      <c r="AO229" s="8"/>
      <c r="AP229" s="8"/>
      <c r="AQ229" s="8"/>
    </row>
    <row r="230" spans="1:75" ht="12" customHeight="1" outlineLevel="1" x14ac:dyDescent="0.35">
      <c r="C230" s="5"/>
      <c r="D230" s="5"/>
      <c r="E230" s="5"/>
      <c r="F230" s="5"/>
      <c r="G230" s="5"/>
      <c r="H230" s="5"/>
      <c r="I230" s="5"/>
      <c r="J230" s="5"/>
      <c r="K230" s="5"/>
      <c r="L230" s="5"/>
      <c r="M230" s="5"/>
      <c r="N230" s="5"/>
      <c r="O230" s="5"/>
      <c r="P230" s="5"/>
      <c r="Q230" s="5"/>
      <c r="R230" s="5"/>
      <c r="S230" s="5"/>
      <c r="T230" s="5"/>
      <c r="U230" s="5"/>
      <c r="V230" s="5"/>
      <c r="Y230" s="227" t="str">
        <f>BM$7</f>
        <v>Kentucky</v>
      </c>
      <c r="Z230" s="227"/>
      <c r="AA230" s="227"/>
      <c r="AB230" s="227"/>
      <c r="AC230" s="227"/>
      <c r="AD230" s="227"/>
      <c r="AE230" s="14"/>
      <c r="AF230" s="14"/>
      <c r="AG230" s="227" t="s">
        <v>3</v>
      </c>
      <c r="AH230" s="227"/>
      <c r="AI230" s="227"/>
      <c r="AJ230" s="227"/>
      <c r="AK230" s="227"/>
      <c r="AL230" s="227"/>
      <c r="AM230" s="14"/>
      <c r="AN230" s="14"/>
      <c r="AO230" s="227" t="s">
        <v>4</v>
      </c>
      <c r="AP230" s="227"/>
      <c r="AQ230" s="227"/>
      <c r="AR230" s="227"/>
      <c r="AS230" s="227"/>
      <c r="AT230" s="227"/>
    </row>
    <row r="231" spans="1:75" ht="12" customHeight="1" outlineLevel="1" x14ac:dyDescent="0.35">
      <c r="Y231" s="228"/>
      <c r="Z231" s="228"/>
      <c r="AA231" s="228"/>
      <c r="AB231" s="228"/>
      <c r="AC231" s="228"/>
      <c r="AD231" s="228"/>
      <c r="AE231" s="15"/>
      <c r="AF231" s="15"/>
      <c r="AG231" s="228"/>
      <c r="AH231" s="228"/>
      <c r="AI231" s="228"/>
      <c r="AJ231" s="228"/>
      <c r="AK231" s="228"/>
      <c r="AL231" s="228"/>
      <c r="AM231" s="15"/>
      <c r="AN231" s="15"/>
      <c r="AO231" s="228"/>
      <c r="AP231" s="228"/>
      <c r="AQ231" s="228"/>
      <c r="AR231" s="228"/>
      <c r="AS231" s="228"/>
      <c r="AT231" s="228"/>
    </row>
    <row r="232" spans="1:75" ht="12" customHeight="1" outlineLevel="1" x14ac:dyDescent="0.35">
      <c r="C232" s="219" t="s">
        <v>797</v>
      </c>
      <c r="D232" s="219"/>
      <c r="E232" s="219"/>
      <c r="F232" s="219"/>
      <c r="G232" s="219"/>
      <c r="H232" s="219"/>
      <c r="I232" s="219"/>
      <c r="J232" s="219"/>
      <c r="K232" s="219"/>
      <c r="L232" s="219"/>
      <c r="M232" s="219"/>
      <c r="N232" s="219"/>
      <c r="O232" s="219"/>
      <c r="P232" s="219"/>
      <c r="Q232" s="219"/>
      <c r="R232" s="219"/>
      <c r="S232" s="219"/>
      <c r="T232" s="219"/>
      <c r="U232" s="219"/>
      <c r="V232" s="219"/>
      <c r="W232" s="10"/>
      <c r="X232" s="10"/>
      <c r="Y232" s="224" t="str">
        <f>VLOOKUP(BM$7,RawData[],54,FALSE)</f>
        <v>Yes</v>
      </c>
      <c r="Z232" s="214"/>
      <c r="AA232" s="214"/>
      <c r="AB232" s="214"/>
      <c r="AC232" s="214"/>
      <c r="AD232" s="214"/>
      <c r="AE232" s="9"/>
      <c r="AF232" s="9"/>
      <c r="AG232" s="229">
        <f>COUNTIF(RawData[Performance-based funding -- 4yr?],"Yes")</f>
        <v>21</v>
      </c>
      <c r="AH232" s="229"/>
      <c r="AI232" s="229"/>
      <c r="AJ232" s="229"/>
      <c r="AK232" s="229"/>
      <c r="AL232" s="229"/>
      <c r="AM232" s="9"/>
      <c r="AN232" s="9"/>
      <c r="AO232" s="214" t="s">
        <v>214</v>
      </c>
      <c r="AP232" s="214"/>
      <c r="AQ232" s="214"/>
      <c r="AR232" s="214"/>
      <c r="AS232" s="214"/>
      <c r="AT232" s="214"/>
    </row>
    <row r="233" spans="1:75" ht="12" customHeight="1" outlineLevel="1" x14ac:dyDescent="0.35">
      <c r="C233" s="219"/>
      <c r="D233" s="219"/>
      <c r="E233" s="219"/>
      <c r="F233" s="219"/>
      <c r="G233" s="219"/>
      <c r="H233" s="219"/>
      <c r="I233" s="219"/>
      <c r="J233" s="219"/>
      <c r="K233" s="219"/>
      <c r="L233" s="219"/>
      <c r="M233" s="219"/>
      <c r="N233" s="219"/>
      <c r="O233" s="219"/>
      <c r="P233" s="219"/>
      <c r="Q233" s="219"/>
      <c r="R233" s="219"/>
      <c r="S233" s="219"/>
      <c r="T233" s="219"/>
      <c r="U233" s="219"/>
      <c r="V233" s="219"/>
      <c r="W233" s="10"/>
      <c r="X233" s="10"/>
      <c r="Y233" s="214"/>
      <c r="Z233" s="214"/>
      <c r="AA233" s="214"/>
      <c r="AB233" s="214"/>
      <c r="AC233" s="214"/>
      <c r="AD233" s="214"/>
      <c r="AE233" s="9"/>
      <c r="AF233" s="9"/>
      <c r="AG233" s="229"/>
      <c r="AH233" s="229"/>
      <c r="AI233" s="229"/>
      <c r="AJ233" s="229"/>
      <c r="AK233" s="229"/>
      <c r="AL233" s="229"/>
      <c r="AM233" s="9"/>
      <c r="AN233" s="9"/>
      <c r="AO233" s="214"/>
      <c r="AP233" s="214"/>
      <c r="AQ233" s="214"/>
      <c r="AR233" s="214"/>
      <c r="AS233" s="214"/>
      <c r="AT233" s="214"/>
    </row>
    <row r="234" spans="1:75" ht="12" customHeight="1" outlineLevel="1" x14ac:dyDescent="0.35">
      <c r="J234" s="2"/>
      <c r="K234" s="2"/>
      <c r="L234" s="2"/>
      <c r="Z234" s="8"/>
      <c r="AA234" s="8"/>
      <c r="AB234" s="8"/>
      <c r="AC234" s="8"/>
      <c r="AD234" s="8"/>
      <c r="AE234" s="8"/>
      <c r="AF234" s="8"/>
      <c r="AG234" s="8"/>
      <c r="AH234" s="8"/>
      <c r="AI234" s="8"/>
      <c r="AJ234" s="8"/>
      <c r="AK234" s="8"/>
      <c r="AL234" s="8"/>
      <c r="AM234" s="8"/>
      <c r="AN234" s="8"/>
      <c r="AO234" s="8"/>
      <c r="AP234" s="8"/>
      <c r="AQ234" s="8"/>
    </row>
    <row r="235" spans="1:75" ht="12" customHeight="1" outlineLevel="1" x14ac:dyDescent="0.35">
      <c r="J235" s="2"/>
      <c r="K235" s="2"/>
      <c r="L235" s="2"/>
      <c r="Z235" s="8"/>
      <c r="AA235" s="8"/>
      <c r="AB235" s="8"/>
      <c r="AC235" s="8"/>
      <c r="AD235" s="8"/>
      <c r="AE235" s="8"/>
      <c r="AF235" s="8"/>
      <c r="AG235" s="8"/>
      <c r="AH235" s="8"/>
      <c r="AI235" s="8"/>
      <c r="AJ235" s="8"/>
      <c r="AK235" s="8"/>
      <c r="AL235" s="8"/>
      <c r="AM235" s="8"/>
      <c r="AN235" s="8"/>
      <c r="AO235" s="8"/>
      <c r="AP235" s="8"/>
      <c r="AQ235" s="8"/>
    </row>
    <row r="236" spans="1:75" ht="12" customHeight="1" outlineLevel="1" x14ac:dyDescent="0.35">
      <c r="C236" s="219" t="s">
        <v>651</v>
      </c>
      <c r="D236" s="219"/>
      <c r="E236" s="219"/>
      <c r="F236" s="219"/>
      <c r="G236" s="219"/>
      <c r="H236" s="219"/>
      <c r="I236" s="219"/>
      <c r="J236" s="219"/>
      <c r="K236" s="219"/>
      <c r="L236" s="219"/>
      <c r="M236" s="219"/>
      <c r="N236" s="219"/>
      <c r="O236" s="219"/>
      <c r="P236" s="219"/>
      <c r="Q236" s="219"/>
      <c r="R236" s="219"/>
      <c r="S236" s="219"/>
      <c r="T236" s="219"/>
      <c r="U236" s="219"/>
      <c r="V236" s="219"/>
      <c r="W236" s="10"/>
      <c r="X236" s="10"/>
      <c r="Y236" s="220">
        <f>VLOOKUP('State Detail'!BM$7,RawData[[#All],[State]:[Opportunity to leverage existing policies and initiatives]],47,FALSE)</f>
        <v>825576200</v>
      </c>
      <c r="Z236" s="220"/>
      <c r="AA236" s="220"/>
      <c r="AB236" s="220"/>
      <c r="AC236" s="220"/>
      <c r="AD236" s="220"/>
      <c r="AE236" s="9"/>
      <c r="AF236" s="9"/>
      <c r="AG236" s="220">
        <f>'Raw Data'!AU$53</f>
        <v>195760209.74000001</v>
      </c>
      <c r="AH236" s="220"/>
      <c r="AI236" s="220"/>
      <c r="AJ236" s="220"/>
      <c r="AK236" s="220"/>
      <c r="AL236" s="220"/>
      <c r="AM236" s="9"/>
      <c r="AN236" s="9"/>
      <c r="AO236" s="214">
        <f>VLOOKUP('State Detail'!BM$7,'Int Data - Case 4'!A1:W55,16,FALSE)</f>
        <v>5</v>
      </c>
      <c r="AP236" s="214"/>
      <c r="AQ236" s="214"/>
      <c r="AR236" s="214"/>
      <c r="AS236" s="214"/>
      <c r="AT236" s="214"/>
    </row>
    <row r="237" spans="1:75" ht="12" customHeight="1" outlineLevel="1" x14ac:dyDescent="0.35">
      <c r="C237" s="219"/>
      <c r="D237" s="219"/>
      <c r="E237" s="219"/>
      <c r="F237" s="219"/>
      <c r="G237" s="219"/>
      <c r="H237" s="219"/>
      <c r="I237" s="219"/>
      <c r="J237" s="219"/>
      <c r="K237" s="219"/>
      <c r="L237" s="219"/>
      <c r="M237" s="219"/>
      <c r="N237" s="219"/>
      <c r="O237" s="219"/>
      <c r="P237" s="219"/>
      <c r="Q237" s="219"/>
      <c r="R237" s="219"/>
      <c r="S237" s="219"/>
      <c r="T237" s="219"/>
      <c r="U237" s="219"/>
      <c r="V237" s="219"/>
      <c r="W237" s="10"/>
      <c r="X237" s="10"/>
      <c r="Y237" s="220"/>
      <c r="Z237" s="220"/>
      <c r="AA237" s="220"/>
      <c r="AB237" s="220"/>
      <c r="AC237" s="220"/>
      <c r="AD237" s="220"/>
      <c r="AE237" s="9"/>
      <c r="AF237" s="9"/>
      <c r="AG237" s="220"/>
      <c r="AH237" s="220"/>
      <c r="AI237" s="220"/>
      <c r="AJ237" s="220"/>
      <c r="AK237" s="220"/>
      <c r="AL237" s="220"/>
      <c r="AM237" s="9"/>
      <c r="AN237" s="9"/>
      <c r="AO237" s="214"/>
      <c r="AP237" s="214"/>
      <c r="AQ237" s="214"/>
      <c r="AR237" s="214"/>
      <c r="AS237" s="214"/>
      <c r="AT237" s="214"/>
    </row>
    <row r="238" spans="1:75" ht="12" customHeight="1" outlineLevel="1" x14ac:dyDescent="0.35">
      <c r="J238" s="2"/>
      <c r="K238" s="2"/>
      <c r="L238" s="2"/>
      <c r="Z238" s="8"/>
      <c r="AA238" s="8"/>
      <c r="AB238" s="8"/>
      <c r="AC238" s="8"/>
      <c r="AD238" s="8"/>
      <c r="AE238" s="8"/>
      <c r="AF238" s="8"/>
      <c r="AG238" s="8"/>
      <c r="AH238" s="8"/>
      <c r="AI238" s="8"/>
      <c r="AJ238" s="8"/>
      <c r="AK238" s="8"/>
      <c r="AL238" s="8"/>
      <c r="AM238" s="8"/>
      <c r="AN238" s="8"/>
      <c r="AO238" s="8"/>
      <c r="AP238" s="8"/>
      <c r="AQ238" s="8"/>
    </row>
    <row r="239" spans="1:75" ht="12" customHeight="1" outlineLevel="1" x14ac:dyDescent="0.35">
      <c r="J239" s="2"/>
      <c r="K239" s="2"/>
      <c r="L239" s="2"/>
      <c r="Z239" s="8"/>
      <c r="AA239" s="8"/>
      <c r="AB239" s="8"/>
      <c r="AC239" s="8"/>
      <c r="AD239" s="8"/>
      <c r="AE239" s="8"/>
      <c r="AF239" s="8"/>
      <c r="AG239" s="8"/>
      <c r="AH239" s="8"/>
      <c r="AI239" s="8"/>
      <c r="AJ239" s="8"/>
      <c r="AK239" s="8"/>
      <c r="AL239" s="8"/>
      <c r="AM239" s="8"/>
      <c r="AN239" s="8"/>
      <c r="AO239" s="8"/>
      <c r="AP239" s="8"/>
      <c r="AQ239" s="8"/>
    </row>
    <row r="240" spans="1:75" ht="12" customHeight="1" outlineLevel="1" x14ac:dyDescent="0.35">
      <c r="C240" s="219" t="s">
        <v>798</v>
      </c>
      <c r="D240" s="219"/>
      <c r="E240" s="219"/>
      <c r="F240" s="219"/>
      <c r="G240" s="219"/>
      <c r="H240" s="219"/>
      <c r="I240" s="219"/>
      <c r="J240" s="219"/>
      <c r="K240" s="219"/>
      <c r="L240" s="219"/>
      <c r="M240" s="219"/>
      <c r="N240" s="219"/>
      <c r="O240" s="219"/>
      <c r="P240" s="219"/>
      <c r="Q240" s="219"/>
      <c r="R240" s="219"/>
      <c r="S240" s="219"/>
      <c r="T240" s="219"/>
      <c r="U240" s="219"/>
      <c r="V240" s="219"/>
      <c r="W240" s="10"/>
      <c r="X240" s="10"/>
      <c r="Y240" s="221">
        <f>VLOOKUP('State Detail'!BM$7,RawData[[#All],[State]:[Opportunity to leverage existing policies and initiatives]],49,FALSE)</f>
        <v>0.88200000000000001</v>
      </c>
      <c r="Z240" s="221"/>
      <c r="AA240" s="221"/>
      <c r="AB240" s="221"/>
      <c r="AC240" s="221"/>
      <c r="AD240" s="221"/>
      <c r="AE240" s="202"/>
      <c r="AF240" s="202"/>
      <c r="AG240" s="221">
        <f>'Raw Data'!AW$53</f>
        <v>0.11872000000000002</v>
      </c>
      <c r="AH240" s="221"/>
      <c r="AI240" s="221"/>
      <c r="AJ240" s="221"/>
      <c r="AK240" s="221"/>
      <c r="AL240" s="221"/>
      <c r="AM240" s="9"/>
      <c r="AN240" s="9"/>
      <c r="AO240" s="214">
        <f>VLOOKUP('State Detail'!BM$7,'Int Data - Case 4'!A1:W55,17,FALSE)</f>
        <v>1</v>
      </c>
      <c r="AP240" s="214"/>
      <c r="AQ240" s="214"/>
      <c r="AR240" s="214"/>
      <c r="AS240" s="214"/>
      <c r="AT240" s="214"/>
    </row>
    <row r="241" spans="3:88" ht="12" customHeight="1" outlineLevel="1" x14ac:dyDescent="0.35">
      <c r="C241" s="219"/>
      <c r="D241" s="219"/>
      <c r="E241" s="219"/>
      <c r="F241" s="219"/>
      <c r="G241" s="219"/>
      <c r="H241" s="219"/>
      <c r="I241" s="219"/>
      <c r="J241" s="219"/>
      <c r="K241" s="219"/>
      <c r="L241" s="219"/>
      <c r="M241" s="219"/>
      <c r="N241" s="219"/>
      <c r="O241" s="219"/>
      <c r="P241" s="219"/>
      <c r="Q241" s="219"/>
      <c r="R241" s="219"/>
      <c r="S241" s="219"/>
      <c r="T241" s="219"/>
      <c r="U241" s="219"/>
      <c r="V241" s="219"/>
      <c r="W241" s="10"/>
      <c r="X241" s="10"/>
      <c r="Y241" s="221"/>
      <c r="Z241" s="221"/>
      <c r="AA241" s="221"/>
      <c r="AB241" s="221"/>
      <c r="AC241" s="221"/>
      <c r="AD241" s="221"/>
      <c r="AE241" s="202"/>
      <c r="AF241" s="202"/>
      <c r="AG241" s="221"/>
      <c r="AH241" s="221"/>
      <c r="AI241" s="221"/>
      <c r="AJ241" s="221"/>
      <c r="AK241" s="221"/>
      <c r="AL241" s="221"/>
      <c r="AM241" s="9"/>
      <c r="AN241" s="9"/>
      <c r="AO241" s="214"/>
      <c r="AP241" s="214"/>
      <c r="AQ241" s="214"/>
      <c r="AR241" s="214"/>
      <c r="AS241" s="214"/>
      <c r="AT241" s="214"/>
    </row>
    <row r="244" spans="3:88" ht="12" customHeight="1" x14ac:dyDescent="0.35">
      <c r="C244" s="4"/>
      <c r="D244" s="4"/>
      <c r="E244" s="4"/>
      <c r="F244" s="4"/>
      <c r="G244" s="4"/>
      <c r="H244" s="4"/>
      <c r="I244" s="4"/>
      <c r="J244" s="4"/>
      <c r="K244" s="4"/>
      <c r="L244" s="4"/>
      <c r="M244" s="4"/>
      <c r="N244" s="4"/>
      <c r="O244" s="4"/>
      <c r="P244" s="4"/>
      <c r="Q244" s="4"/>
      <c r="R244" s="4"/>
      <c r="S244" s="215" t="s">
        <v>814</v>
      </c>
      <c r="T244" s="215"/>
      <c r="U244" s="215"/>
      <c r="V244" s="215"/>
      <c r="W244" s="215"/>
      <c r="X244" s="215"/>
      <c r="Y244" s="215"/>
      <c r="Z244" s="212" t="s">
        <v>815</v>
      </c>
      <c r="AA244" s="212"/>
      <c r="AB244" s="212"/>
      <c r="AC244" s="212"/>
      <c r="AD244" s="212"/>
      <c r="AE244" s="212"/>
      <c r="AF244" s="212"/>
      <c r="AG244" s="212" t="s">
        <v>816</v>
      </c>
      <c r="AH244" s="212"/>
      <c r="AI244" s="212"/>
      <c r="AJ244" s="212"/>
      <c r="AK244" s="212"/>
      <c r="AL244" s="212"/>
      <c r="AM244" s="212"/>
      <c r="AN244" s="212" t="s">
        <v>817</v>
      </c>
      <c r="AO244" s="212"/>
      <c r="AP244" s="212"/>
      <c r="AQ244" s="212"/>
      <c r="AR244" s="212"/>
      <c r="AS244" s="212"/>
      <c r="AT244" s="212"/>
      <c r="AU244" s="212" t="s">
        <v>818</v>
      </c>
      <c r="AV244" s="212"/>
      <c r="AW244" s="212"/>
      <c r="AX244" s="212"/>
      <c r="AY244" s="212"/>
      <c r="AZ244" s="212"/>
      <c r="BA244" s="212"/>
      <c r="BB244" s="212" t="s">
        <v>819</v>
      </c>
      <c r="BC244" s="212"/>
      <c r="BD244" s="212"/>
      <c r="BE244" s="212"/>
      <c r="BF244" s="212"/>
      <c r="BG244" s="212"/>
      <c r="BH244" s="212"/>
      <c r="BI244" s="212" t="s">
        <v>820</v>
      </c>
      <c r="BJ244" s="212"/>
      <c r="BK244" s="212"/>
      <c r="BL244" s="212"/>
      <c r="BM244" s="212"/>
      <c r="BN244" s="212"/>
      <c r="BO244" s="212"/>
    </row>
    <row r="245" spans="3:88" ht="12" customHeight="1" x14ac:dyDescent="0.35">
      <c r="C245" s="4"/>
      <c r="D245" s="4"/>
      <c r="E245" s="4"/>
      <c r="F245" s="4"/>
      <c r="G245" s="4"/>
      <c r="H245" s="4"/>
      <c r="I245" s="4"/>
      <c r="J245" s="4"/>
      <c r="K245" s="4"/>
      <c r="L245" s="4"/>
      <c r="M245" s="4"/>
      <c r="N245" s="4"/>
      <c r="O245" s="4"/>
      <c r="P245" s="4"/>
      <c r="Q245" s="4"/>
      <c r="R245" s="4"/>
      <c r="S245" s="215"/>
      <c r="T245" s="215"/>
      <c r="U245" s="215"/>
      <c r="V245" s="215"/>
      <c r="W245" s="215"/>
      <c r="X245" s="215"/>
      <c r="Y245" s="215"/>
      <c r="Z245" s="212"/>
      <c r="AA245" s="212"/>
      <c r="AB245" s="212"/>
      <c r="AC245" s="212"/>
      <c r="AD245" s="212"/>
      <c r="AE245" s="212"/>
      <c r="AF245" s="212"/>
      <c r="AG245" s="212"/>
      <c r="AH245" s="212"/>
      <c r="AI245" s="212"/>
      <c r="AJ245" s="212"/>
      <c r="AK245" s="212"/>
      <c r="AL245" s="212"/>
      <c r="AM245" s="212"/>
      <c r="AN245" s="212"/>
      <c r="AO245" s="212"/>
      <c r="AP245" s="212"/>
      <c r="AQ245" s="212"/>
      <c r="AR245" s="212"/>
      <c r="AS245" s="212"/>
      <c r="AT245" s="212"/>
      <c r="AU245" s="212"/>
      <c r="AV245" s="212"/>
      <c r="AW245" s="212"/>
      <c r="AX245" s="212"/>
      <c r="AY245" s="212"/>
      <c r="AZ245" s="212"/>
      <c r="BA245" s="212"/>
      <c r="BB245" s="212"/>
      <c r="BC245" s="212"/>
      <c r="BD245" s="212"/>
      <c r="BE245" s="212"/>
      <c r="BF245" s="212"/>
      <c r="BG245" s="212"/>
      <c r="BH245" s="212"/>
      <c r="BI245" s="212"/>
      <c r="BJ245" s="212"/>
      <c r="BK245" s="212"/>
      <c r="BL245" s="212"/>
      <c r="BM245" s="212"/>
      <c r="BN245" s="212"/>
      <c r="BO245" s="212"/>
    </row>
    <row r="246" spans="3:88" ht="12" customHeight="1" x14ac:dyDescent="0.35">
      <c r="S246" s="216"/>
      <c r="T246" s="216"/>
      <c r="U246" s="216"/>
      <c r="V246" s="216"/>
      <c r="W246" s="216"/>
      <c r="X246" s="216"/>
      <c r="Y246" s="216"/>
      <c r="Z246" s="213"/>
      <c r="AA246" s="213"/>
      <c r="AB246" s="213"/>
      <c r="AC246" s="213"/>
      <c r="AD246" s="213"/>
      <c r="AE246" s="213"/>
      <c r="AF246" s="213"/>
      <c r="AG246" s="213"/>
      <c r="AH246" s="213"/>
      <c r="AI246" s="213"/>
      <c r="AJ246" s="213"/>
      <c r="AK246" s="213"/>
      <c r="AL246" s="213"/>
      <c r="AM246" s="213"/>
      <c r="AN246" s="213"/>
      <c r="AO246" s="213"/>
      <c r="AP246" s="213"/>
      <c r="AQ246" s="213"/>
      <c r="AR246" s="213"/>
      <c r="AS246" s="213"/>
      <c r="AT246" s="213"/>
      <c r="AU246" s="213"/>
      <c r="AV246" s="213"/>
      <c r="AW246" s="213"/>
      <c r="AX246" s="213"/>
      <c r="AY246" s="213"/>
      <c r="AZ246" s="213"/>
      <c r="BA246" s="213"/>
      <c r="BB246" s="213"/>
      <c r="BC246" s="213"/>
      <c r="BD246" s="213"/>
      <c r="BE246" s="213"/>
      <c r="BF246" s="213"/>
      <c r="BG246" s="213"/>
      <c r="BH246" s="213"/>
      <c r="BI246" s="213"/>
      <c r="BJ246" s="213"/>
      <c r="BK246" s="213"/>
      <c r="BL246" s="213"/>
      <c r="BM246" s="213"/>
      <c r="BN246" s="213"/>
      <c r="BO246" s="213"/>
    </row>
    <row r="247" spans="3:88" ht="12" customHeight="1" x14ac:dyDescent="0.35">
      <c r="C247" s="217" t="s">
        <v>813</v>
      </c>
      <c r="D247" s="217"/>
      <c r="E247" s="217"/>
      <c r="F247" s="217"/>
      <c r="G247" s="217"/>
      <c r="H247" s="217"/>
      <c r="I247" s="217"/>
      <c r="J247" s="217"/>
      <c r="K247" s="217"/>
      <c r="L247" s="217"/>
      <c r="M247" s="218"/>
      <c r="N247" s="218"/>
      <c r="O247" s="218"/>
      <c r="P247" s="218"/>
      <c r="Q247" s="218"/>
      <c r="R247" s="9"/>
      <c r="S247" s="214" t="str">
        <f>VLOOKUP($BM$7,RawData[],60,FALSE)</f>
        <v>No</v>
      </c>
      <c r="T247" s="214"/>
      <c r="U247" s="214"/>
      <c r="V247" s="214"/>
      <c r="W247" s="214"/>
      <c r="X247" s="214"/>
      <c r="Y247" s="214"/>
      <c r="Z247" s="214" t="str">
        <f>VLOOKUP($BM$7,RawData[],61,FALSE)</f>
        <v>No</v>
      </c>
      <c r="AA247" s="214"/>
      <c r="AB247" s="214"/>
      <c r="AC247" s="214"/>
      <c r="AD247" s="214"/>
      <c r="AE247" s="214"/>
      <c r="AF247" s="214"/>
      <c r="AG247" s="214" t="str">
        <f>VLOOKUP($BM$7,RawData[],62,FALSE)</f>
        <v>No</v>
      </c>
      <c r="AH247" s="214"/>
      <c r="AI247" s="214"/>
      <c r="AJ247" s="214"/>
      <c r="AK247" s="214"/>
      <c r="AL247" s="214"/>
      <c r="AM247" s="214"/>
      <c r="AN247" s="214" t="str">
        <f>VLOOKUP($BM$7,RawData[],63,FALSE)</f>
        <v>No</v>
      </c>
      <c r="AO247" s="214"/>
      <c r="AP247" s="214"/>
      <c r="AQ247" s="214"/>
      <c r="AR247" s="214"/>
      <c r="AS247" s="214"/>
      <c r="AT247" s="214"/>
      <c r="AU247" s="214" t="str">
        <f>VLOOKUP($BM$7,RawData[],64,FALSE)</f>
        <v>No</v>
      </c>
      <c r="AV247" s="214"/>
      <c r="AW247" s="214"/>
      <c r="AX247" s="214"/>
      <c r="AY247" s="214"/>
      <c r="AZ247" s="214"/>
      <c r="BA247" s="214"/>
      <c r="BB247" s="214" t="str">
        <f>VLOOKUP($BM$7,RawData[],65,FALSE)</f>
        <v>No</v>
      </c>
      <c r="BC247" s="214"/>
      <c r="BD247" s="214"/>
      <c r="BE247" s="214"/>
      <c r="BF247" s="214"/>
      <c r="BG247" s="214"/>
      <c r="BH247" s="214"/>
      <c r="BI247" s="211" t="str">
        <f>VLOOKUP($BM$7,RawData[],66,FALSE)</f>
        <v>No</v>
      </c>
      <c r="BJ247" s="211"/>
      <c r="BK247" s="211"/>
      <c r="BL247" s="211"/>
      <c r="BM247" s="211"/>
      <c r="BN247" s="211"/>
      <c r="BO247" s="211"/>
      <c r="BP247" s="211"/>
      <c r="BQ247" s="211"/>
      <c r="BR247" s="211"/>
      <c r="BS247" s="211"/>
      <c r="BT247" s="211"/>
      <c r="BU247" s="211"/>
      <c r="BV247" s="211"/>
      <c r="BW247" s="211"/>
      <c r="BX247" s="211"/>
      <c r="BY247" s="211"/>
      <c r="BZ247" s="211"/>
      <c r="CA247" s="211"/>
      <c r="CB247" s="211"/>
      <c r="CC247" s="211"/>
      <c r="CD247" s="211"/>
      <c r="CE247" s="211"/>
      <c r="CF247" s="211"/>
      <c r="CG247" s="211"/>
      <c r="CH247" s="211"/>
      <c r="CI247" s="211"/>
      <c r="CJ247" s="211"/>
    </row>
    <row r="248" spans="3:88" ht="12" customHeight="1" x14ac:dyDescent="0.35">
      <c r="C248" s="217"/>
      <c r="D248" s="217"/>
      <c r="E248" s="217"/>
      <c r="F248" s="217"/>
      <c r="G248" s="217"/>
      <c r="H248" s="217"/>
      <c r="I248" s="217"/>
      <c r="J248" s="217"/>
      <c r="K248" s="217"/>
      <c r="L248" s="217"/>
      <c r="M248" s="218"/>
      <c r="N248" s="218"/>
      <c r="O248" s="218"/>
      <c r="P248" s="218"/>
      <c r="Q248" s="218"/>
      <c r="R248" s="9"/>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1"/>
      <c r="BJ248" s="211"/>
      <c r="BK248" s="211"/>
      <c r="BL248" s="211"/>
      <c r="BM248" s="211"/>
      <c r="BN248" s="211"/>
      <c r="BO248" s="211"/>
      <c r="BP248" s="211"/>
      <c r="BQ248" s="211"/>
      <c r="BR248" s="211"/>
      <c r="BS248" s="211"/>
      <c r="BT248" s="211"/>
      <c r="BU248" s="211"/>
      <c r="BV248" s="211"/>
      <c r="BW248" s="211"/>
      <c r="BX248" s="211"/>
      <c r="BY248" s="211"/>
      <c r="BZ248" s="211"/>
      <c r="CA248" s="211"/>
      <c r="CB248" s="211"/>
      <c r="CC248" s="211"/>
      <c r="CD248" s="211"/>
      <c r="CE248" s="211"/>
      <c r="CF248" s="211"/>
      <c r="CG248" s="211"/>
      <c r="CH248" s="211"/>
      <c r="CI248" s="211"/>
      <c r="CJ248" s="211"/>
    </row>
    <row r="249" spans="3:88" ht="12" customHeight="1" x14ac:dyDescent="0.35">
      <c r="BI249" s="211"/>
      <c r="BJ249" s="211"/>
      <c r="BK249" s="211"/>
      <c r="BL249" s="211"/>
      <c r="BM249" s="211"/>
      <c r="BN249" s="211"/>
      <c r="BO249" s="211"/>
      <c r="BP249" s="211"/>
      <c r="BQ249" s="211"/>
      <c r="BR249" s="211"/>
      <c r="BS249" s="211"/>
      <c r="BT249" s="211"/>
      <c r="BU249" s="211"/>
      <c r="BV249" s="211"/>
      <c r="BW249" s="211"/>
      <c r="BX249" s="211"/>
      <c r="BY249" s="211"/>
      <c r="BZ249" s="211"/>
      <c r="CA249" s="211"/>
      <c r="CB249" s="211"/>
      <c r="CC249" s="211"/>
      <c r="CD249" s="211"/>
      <c r="CE249" s="211"/>
      <c r="CF249" s="211"/>
      <c r="CG249" s="211"/>
      <c r="CH249" s="211"/>
      <c r="CI249" s="211"/>
      <c r="CJ249" s="211"/>
    </row>
    <row r="250" spans="3:88" ht="12" customHeight="1" x14ac:dyDescent="0.35">
      <c r="BI250" s="211"/>
      <c r="BJ250" s="211"/>
      <c r="BK250" s="211"/>
      <c r="BL250" s="211"/>
      <c r="BM250" s="211"/>
      <c r="BN250" s="211"/>
      <c r="BO250" s="211"/>
      <c r="BP250" s="211"/>
      <c r="BQ250" s="211"/>
      <c r="BR250" s="211"/>
      <c r="BS250" s="211"/>
      <c r="BT250" s="211"/>
      <c r="BU250" s="211"/>
      <c r="BV250" s="211"/>
      <c r="BW250" s="211"/>
      <c r="BX250" s="211"/>
      <c r="BY250" s="211"/>
      <c r="BZ250" s="211"/>
      <c r="CA250" s="211"/>
      <c r="CB250" s="211"/>
      <c r="CC250" s="211"/>
      <c r="CD250" s="211"/>
      <c r="CE250" s="211"/>
      <c r="CF250" s="211"/>
      <c r="CG250" s="211"/>
      <c r="CH250" s="211"/>
      <c r="CI250" s="211"/>
      <c r="CJ250" s="211"/>
    </row>
  </sheetData>
  <mergeCells count="261">
    <mergeCell ref="AW27:BW28"/>
    <mergeCell ref="AW29:BN29"/>
    <mergeCell ref="BP29:BW29"/>
    <mergeCell ref="C223:Q224"/>
    <mergeCell ref="Y21:AT22"/>
    <mergeCell ref="Y26:AI27"/>
    <mergeCell ref="AJ26:AT27"/>
    <mergeCell ref="Y31:AI32"/>
    <mergeCell ref="AJ31:AT32"/>
    <mergeCell ref="Y37:AI38"/>
    <mergeCell ref="AJ37:AT38"/>
    <mergeCell ref="AW23:BE24"/>
    <mergeCell ref="BF21:BN22"/>
    <mergeCell ref="BO21:BW22"/>
    <mergeCell ref="BF23:BN24"/>
    <mergeCell ref="BO23:BW24"/>
    <mergeCell ref="C207:V208"/>
    <mergeCell ref="Y207:AD208"/>
    <mergeCell ref="AG207:AL208"/>
    <mergeCell ref="C172:V173"/>
    <mergeCell ref="Y172:AD173"/>
    <mergeCell ref="C180:V181"/>
    <mergeCell ref="Y180:AD181"/>
    <mergeCell ref="AG180:AL181"/>
    <mergeCell ref="AO180:AT181"/>
    <mergeCell ref="AG223:AM224"/>
    <mergeCell ref="A14:BW15"/>
    <mergeCell ref="C216:V217"/>
    <mergeCell ref="Y216:AD217"/>
    <mergeCell ref="AG216:AL217"/>
    <mergeCell ref="AO216:AT217"/>
    <mergeCell ref="AJ211:AS212"/>
    <mergeCell ref="AT211:AU212"/>
    <mergeCell ref="Y214:AD215"/>
    <mergeCell ref="AG214:AL215"/>
    <mergeCell ref="AO214:AT215"/>
    <mergeCell ref="A211:AC212"/>
    <mergeCell ref="AO207:AT208"/>
    <mergeCell ref="A195:BW196"/>
    <mergeCell ref="A198:Y199"/>
    <mergeCell ref="AJ198:AS199"/>
    <mergeCell ref="AT198:AU199"/>
    <mergeCell ref="Y201:AD202"/>
    <mergeCell ref="AG201:AL202"/>
    <mergeCell ref="AO201:AT202"/>
    <mergeCell ref="AW171:BQ173"/>
    <mergeCell ref="BR171:BW173"/>
    <mergeCell ref="AG172:AL173"/>
    <mergeCell ref="AO172:AT173"/>
    <mergeCell ref="C116:V117"/>
    <mergeCell ref="Y116:AD117"/>
    <mergeCell ref="AG116:AL117"/>
    <mergeCell ref="Y203:AD204"/>
    <mergeCell ref="AG203:AL204"/>
    <mergeCell ref="AO203:AT204"/>
    <mergeCell ref="AG178:AL179"/>
    <mergeCell ref="AO178:AT179"/>
    <mergeCell ref="C155:V156"/>
    <mergeCell ref="Y155:AD156"/>
    <mergeCell ref="AG155:AL156"/>
    <mergeCell ref="AO155:AT156"/>
    <mergeCell ref="C147:V148"/>
    <mergeCell ref="Y147:AD148"/>
    <mergeCell ref="AG147:AL148"/>
    <mergeCell ref="AO147:AT148"/>
    <mergeCell ref="C151:V152"/>
    <mergeCell ref="Y151:AD152"/>
    <mergeCell ref="C184:V185"/>
    <mergeCell ref="Y184:AD185"/>
    <mergeCell ref="AG184:AL185"/>
    <mergeCell ref="AO184:AT185"/>
    <mergeCell ref="C203:V204"/>
    <mergeCell ref="A139:BW140"/>
    <mergeCell ref="C107:V108"/>
    <mergeCell ref="AO107:AT108"/>
    <mergeCell ref="AW73:BQ75"/>
    <mergeCell ref="BR73:BW75"/>
    <mergeCell ref="C120:V121"/>
    <mergeCell ref="Y120:AD121"/>
    <mergeCell ref="AG120:AL121"/>
    <mergeCell ref="AO120:AT121"/>
    <mergeCell ref="A111:X112"/>
    <mergeCell ref="Y114:AD115"/>
    <mergeCell ref="AG114:AL115"/>
    <mergeCell ref="AW119:BQ121"/>
    <mergeCell ref="BR119:BW121"/>
    <mergeCell ref="Y107:AD108"/>
    <mergeCell ref="AG107:AL108"/>
    <mergeCell ref="AO114:AT115"/>
    <mergeCell ref="AJ111:AS112"/>
    <mergeCell ref="AT111:AU112"/>
    <mergeCell ref="AO116:AT117"/>
    <mergeCell ref="AO81:AT82"/>
    <mergeCell ref="C83:V84"/>
    <mergeCell ref="Y83:AD84"/>
    <mergeCell ref="AG83:AL84"/>
    <mergeCell ref="AO83:AT84"/>
    <mergeCell ref="AT98:AU99"/>
    <mergeCell ref="AO101:AT102"/>
    <mergeCell ref="A98:Y99"/>
    <mergeCell ref="Y81:AD82"/>
    <mergeCell ref="AG81:AL82"/>
    <mergeCell ref="C87:V88"/>
    <mergeCell ref="Y87:AD88"/>
    <mergeCell ref="AG87:AL88"/>
    <mergeCell ref="AO87:AT88"/>
    <mergeCell ref="C91:V92"/>
    <mergeCell ref="Y91:AD92"/>
    <mergeCell ref="A1:BW4"/>
    <mergeCell ref="A5:BB11"/>
    <mergeCell ref="BC7:BK9"/>
    <mergeCell ref="BM7:BW9"/>
    <mergeCell ref="AT48:AU49"/>
    <mergeCell ref="AJ48:AS49"/>
    <mergeCell ref="AJ65:AS66"/>
    <mergeCell ref="AT65:AU66"/>
    <mergeCell ref="Y74:AD75"/>
    <mergeCell ref="AG74:AL75"/>
    <mergeCell ref="AO74:AT75"/>
    <mergeCell ref="Y68:AD69"/>
    <mergeCell ref="AG68:AL69"/>
    <mergeCell ref="AO68:AT69"/>
    <mergeCell ref="Y70:AD71"/>
    <mergeCell ref="AG70:AL71"/>
    <mergeCell ref="AG61:AL62"/>
    <mergeCell ref="AO61:AT62"/>
    <mergeCell ref="Y51:AD52"/>
    <mergeCell ref="A45:BW46"/>
    <mergeCell ref="AW17:BR18"/>
    <mergeCell ref="AG51:AL52"/>
    <mergeCell ref="AO70:AT71"/>
    <mergeCell ref="Y53:AD54"/>
    <mergeCell ref="Y35:AI36"/>
    <mergeCell ref="AJ35:AT36"/>
    <mergeCell ref="C37:V38"/>
    <mergeCell ref="AO51:AT52"/>
    <mergeCell ref="AO57:AT58"/>
    <mergeCell ref="AG53:AL54"/>
    <mergeCell ref="AO53:AT54"/>
    <mergeCell ref="Y57:AD58"/>
    <mergeCell ref="AG57:AL58"/>
    <mergeCell ref="A17:V18"/>
    <mergeCell ref="AJ17:AS18"/>
    <mergeCell ref="C21:V22"/>
    <mergeCell ref="C26:V27"/>
    <mergeCell ref="C31:V32"/>
    <mergeCell ref="Y24:AI25"/>
    <mergeCell ref="AJ24:AT25"/>
    <mergeCell ref="Y29:AI30"/>
    <mergeCell ref="AJ29:AT30"/>
    <mergeCell ref="AG126:AL127"/>
    <mergeCell ref="AO126:AT127"/>
    <mergeCell ref="C128:V129"/>
    <mergeCell ref="Y128:AD129"/>
    <mergeCell ref="AG128:AL129"/>
    <mergeCell ref="AO128:AT129"/>
    <mergeCell ref="A48:V49"/>
    <mergeCell ref="A65:V66"/>
    <mergeCell ref="C53:V54"/>
    <mergeCell ref="C57:V58"/>
    <mergeCell ref="C61:V62"/>
    <mergeCell ref="C70:V71"/>
    <mergeCell ref="Y61:AD62"/>
    <mergeCell ref="Y103:AD104"/>
    <mergeCell ref="Y101:AD102"/>
    <mergeCell ref="AG101:AL102"/>
    <mergeCell ref="AG103:AL104"/>
    <mergeCell ref="AO103:AT104"/>
    <mergeCell ref="A78:V79"/>
    <mergeCell ref="AJ78:AS79"/>
    <mergeCell ref="C74:V75"/>
    <mergeCell ref="A95:BW96"/>
    <mergeCell ref="C103:V104"/>
    <mergeCell ref="AJ98:AS99"/>
    <mergeCell ref="A159:AD160"/>
    <mergeCell ref="C132:V133"/>
    <mergeCell ref="Y132:AD133"/>
    <mergeCell ref="AG132:AL133"/>
    <mergeCell ref="AO132:AT133"/>
    <mergeCell ref="AG91:AL92"/>
    <mergeCell ref="AO91:AT92"/>
    <mergeCell ref="Y168:AD169"/>
    <mergeCell ref="AG168:AL169"/>
    <mergeCell ref="AO168:AT169"/>
    <mergeCell ref="AJ159:AS160"/>
    <mergeCell ref="AT159:AU160"/>
    <mergeCell ref="Y162:AD163"/>
    <mergeCell ref="AG162:AL163"/>
    <mergeCell ref="AO162:AT163"/>
    <mergeCell ref="AJ142:AS143"/>
    <mergeCell ref="AT142:AU143"/>
    <mergeCell ref="Y145:AD146"/>
    <mergeCell ref="AG145:AL146"/>
    <mergeCell ref="AO145:AT146"/>
    <mergeCell ref="A142:V143"/>
    <mergeCell ref="A123:V124"/>
    <mergeCell ref="AJ123:AS124"/>
    <mergeCell ref="Y126:AD127"/>
    <mergeCell ref="A175:V176"/>
    <mergeCell ref="AJ175:AS176"/>
    <mergeCell ref="Y178:AD179"/>
    <mergeCell ref="AG232:AL233"/>
    <mergeCell ref="AO232:AT233"/>
    <mergeCell ref="C136:V137"/>
    <mergeCell ref="Y136:AD137"/>
    <mergeCell ref="AG136:AL137"/>
    <mergeCell ref="AO136:AT137"/>
    <mergeCell ref="C188:V189"/>
    <mergeCell ref="Y188:AD189"/>
    <mergeCell ref="AG188:AL189"/>
    <mergeCell ref="AO188:AT189"/>
    <mergeCell ref="C192:V193"/>
    <mergeCell ref="Y192:AD193"/>
    <mergeCell ref="AG192:AL193"/>
    <mergeCell ref="AO192:AT193"/>
    <mergeCell ref="AG151:AL152"/>
    <mergeCell ref="AO151:AT152"/>
    <mergeCell ref="C168:V169"/>
    <mergeCell ref="C164:V165"/>
    <mergeCell ref="Y164:AD165"/>
    <mergeCell ref="AG164:AL165"/>
    <mergeCell ref="AO164:AT165"/>
    <mergeCell ref="BR220:BW222"/>
    <mergeCell ref="AW220:BQ222"/>
    <mergeCell ref="S220:Y222"/>
    <mergeCell ref="Z220:AF222"/>
    <mergeCell ref="AG220:AM222"/>
    <mergeCell ref="AN220:AT222"/>
    <mergeCell ref="C232:V233"/>
    <mergeCell ref="Y232:AD233"/>
    <mergeCell ref="A227:V228"/>
    <mergeCell ref="AJ227:AS228"/>
    <mergeCell ref="Y230:AD231"/>
    <mergeCell ref="AG230:AL231"/>
    <mergeCell ref="AO230:AT231"/>
    <mergeCell ref="AN223:AT224"/>
    <mergeCell ref="S223:Y224"/>
    <mergeCell ref="Z223:AF224"/>
    <mergeCell ref="C247:Q248"/>
    <mergeCell ref="S247:Y248"/>
    <mergeCell ref="Z247:AF248"/>
    <mergeCell ref="AG247:AM248"/>
    <mergeCell ref="AN247:AT248"/>
    <mergeCell ref="C236:V237"/>
    <mergeCell ref="Y236:AD237"/>
    <mergeCell ref="AG236:AL237"/>
    <mergeCell ref="AO236:AT237"/>
    <mergeCell ref="C240:V241"/>
    <mergeCell ref="Y240:AD241"/>
    <mergeCell ref="AG240:AL241"/>
    <mergeCell ref="AO240:AT241"/>
    <mergeCell ref="BI247:CJ250"/>
    <mergeCell ref="AU244:BA246"/>
    <mergeCell ref="AU247:BA248"/>
    <mergeCell ref="BB244:BH246"/>
    <mergeCell ref="BB247:BH248"/>
    <mergeCell ref="BI244:BO246"/>
    <mergeCell ref="S244:Y246"/>
    <mergeCell ref="Z244:AF246"/>
    <mergeCell ref="AG244:AM246"/>
    <mergeCell ref="AN244:AT246"/>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ADA2687-521D-4A62-B627-0D75D34F7A30}">
          <x14:formula1>
            <xm:f>'Raw Data'!$A$2:$A$51</xm:f>
          </x14:formula1>
          <xm:sqref>BM7:BW9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4F365-A659-4208-8134-544776ACD48F}">
  <dimension ref="A1:BL54"/>
  <sheetViews>
    <sheetView workbookViewId="0">
      <pane xSplit="1" ySplit="1" topLeftCell="B2" activePane="bottomRight" state="frozen"/>
      <selection pane="topRight" activeCell="B1" sqref="B1"/>
      <selection pane="bottomLeft" activeCell="A2" sqref="A2"/>
      <selection pane="bottomRight"/>
    </sheetView>
  </sheetViews>
  <sheetFormatPr defaultColWidth="8.90625" defaultRowHeight="13" x14ac:dyDescent="0.3"/>
  <cols>
    <col min="1" max="1" width="12.54296875" style="49" customWidth="1"/>
    <col min="2" max="2" width="8.90625" style="49"/>
    <col min="3" max="3" width="11.81640625" style="49" customWidth="1"/>
    <col min="4" max="11" width="13.453125" style="49" customWidth="1"/>
    <col min="12" max="13" width="13.81640625" style="49" bestFit="1" customWidth="1"/>
    <col min="14" max="14" width="12.81640625" style="49" bestFit="1" customWidth="1"/>
    <col min="15" max="15" width="13.81640625" style="49" bestFit="1" customWidth="1"/>
    <col min="16" max="16" width="10.08984375" style="49" customWidth="1"/>
    <col min="17" max="17" width="9.54296875" style="49" bestFit="1" customWidth="1"/>
    <col min="18" max="18" width="12.1796875" style="49" customWidth="1"/>
    <col min="19" max="19" width="16.90625" style="49" customWidth="1"/>
    <col min="20" max="20" width="10.453125" style="49" bestFit="1" customWidth="1"/>
    <col min="21" max="21" width="9" style="49" bestFit="1" customWidth="1"/>
    <col min="22" max="24" width="13.08984375" style="49" customWidth="1"/>
    <col min="25" max="25" width="9" style="49" bestFit="1" customWidth="1"/>
    <col min="26" max="26" width="14.1796875" style="149" customWidth="1"/>
    <col min="27" max="27" width="16.90625" style="49" customWidth="1"/>
    <col min="28" max="28" width="14.1796875" style="49" customWidth="1"/>
    <col min="29" max="29" width="14.54296875" style="49" customWidth="1"/>
    <col min="30" max="31" width="14.1796875" style="49" customWidth="1"/>
    <col min="32" max="32" width="10.90625" style="49" customWidth="1"/>
    <col min="33" max="33" width="12.81640625" style="49" customWidth="1"/>
    <col min="34" max="34" width="10.453125" style="49" bestFit="1" customWidth="1"/>
    <col min="35" max="35" width="16.6328125" style="49" customWidth="1"/>
    <col min="36" max="36" width="17.1796875" style="49" customWidth="1"/>
    <col min="37" max="37" width="12.1796875" style="49" customWidth="1"/>
    <col min="38" max="38" width="13.08984375" style="49" customWidth="1"/>
    <col min="39" max="39" width="13.54296875" style="49" customWidth="1"/>
    <col min="40" max="40" width="16.6328125" style="49" customWidth="1"/>
    <col min="41" max="41" width="16.90625" style="49" customWidth="1"/>
    <col min="42" max="42" width="15.453125" style="49" customWidth="1"/>
    <col min="43" max="43" width="17.453125" style="49" customWidth="1"/>
    <col min="44" max="44" width="17.36328125" style="49" customWidth="1"/>
    <col min="45" max="45" width="15.453125" style="49" customWidth="1"/>
    <col min="46" max="47" width="15.453125" style="55" customWidth="1"/>
    <col min="48" max="48" width="15.453125" style="49" customWidth="1"/>
    <col min="49" max="49" width="10.81640625" style="49" customWidth="1"/>
    <col min="50" max="50" width="14" style="49" customWidth="1"/>
    <col min="51" max="51" width="20.90625" style="49" customWidth="1"/>
    <col min="52" max="52" width="13.453125" style="49" customWidth="1"/>
    <col min="53" max="53" width="11.6328125" style="49" customWidth="1"/>
    <col min="54" max="56" width="14.81640625" style="49" customWidth="1"/>
    <col min="57" max="57" width="11.1796875" style="49" customWidth="1"/>
    <col min="58" max="58" width="14.1796875" style="49" customWidth="1"/>
    <col min="59" max="63" width="8.90625" style="49"/>
    <col min="64" max="64" width="30.6328125" style="49" customWidth="1"/>
    <col min="65" max="16384" width="8.90625" style="49"/>
  </cols>
  <sheetData>
    <row r="1" spans="1:64" s="163" customFormat="1" ht="91" x14ac:dyDescent="0.3">
      <c r="A1" s="154" t="s">
        <v>20</v>
      </c>
      <c r="B1" s="154" t="s">
        <v>22</v>
      </c>
      <c r="C1" s="201" t="s">
        <v>683</v>
      </c>
      <c r="D1" s="201" t="s">
        <v>684</v>
      </c>
      <c r="E1" s="201" t="s">
        <v>685</v>
      </c>
      <c r="F1" s="201" t="s">
        <v>686</v>
      </c>
      <c r="G1" s="201" t="s">
        <v>687</v>
      </c>
      <c r="H1" s="201" t="s">
        <v>688</v>
      </c>
      <c r="I1" s="201" t="s">
        <v>689</v>
      </c>
      <c r="J1" s="201" t="s">
        <v>690</v>
      </c>
      <c r="K1" s="201" t="s">
        <v>691</v>
      </c>
      <c r="L1" s="201" t="s">
        <v>692</v>
      </c>
      <c r="M1" s="201" t="s">
        <v>693</v>
      </c>
      <c r="N1" s="201" t="s">
        <v>694</v>
      </c>
      <c r="O1" s="201" t="s">
        <v>695</v>
      </c>
      <c r="P1" s="201" t="s">
        <v>702</v>
      </c>
      <c r="Q1" s="201" t="s">
        <v>698</v>
      </c>
      <c r="R1" s="201" t="s">
        <v>703</v>
      </c>
      <c r="S1" s="201" t="s">
        <v>696</v>
      </c>
      <c r="T1" s="201" t="s">
        <v>697</v>
      </c>
      <c r="U1" s="201" t="s">
        <v>699</v>
      </c>
      <c r="V1" s="201" t="s">
        <v>734</v>
      </c>
      <c r="W1" s="201" t="s">
        <v>700</v>
      </c>
      <c r="X1" s="201" t="s">
        <v>701</v>
      </c>
      <c r="Y1" s="201" t="s">
        <v>704</v>
      </c>
      <c r="Z1" s="201" t="s">
        <v>707</v>
      </c>
      <c r="AA1" s="201" t="s">
        <v>709</v>
      </c>
      <c r="AB1" s="201" t="s">
        <v>710</v>
      </c>
      <c r="AC1" s="201" t="s">
        <v>705</v>
      </c>
      <c r="AD1" s="201" t="s">
        <v>708</v>
      </c>
      <c r="AE1" s="201" t="s">
        <v>706</v>
      </c>
      <c r="AF1" s="201" t="s">
        <v>735</v>
      </c>
      <c r="AG1" s="201" t="s">
        <v>711</v>
      </c>
      <c r="AH1" s="201" t="s">
        <v>712</v>
      </c>
      <c r="AI1" s="201" t="s">
        <v>713</v>
      </c>
      <c r="AJ1" s="201" t="s">
        <v>714</v>
      </c>
      <c r="AK1" s="201" t="s">
        <v>715</v>
      </c>
      <c r="AL1" s="201" t="s">
        <v>716</v>
      </c>
      <c r="AM1" s="201" t="s">
        <v>717</v>
      </c>
      <c r="AN1" s="201" t="s">
        <v>718</v>
      </c>
      <c r="AO1" s="201" t="s">
        <v>719</v>
      </c>
      <c r="AP1" s="201" t="s">
        <v>720</v>
      </c>
      <c r="AQ1" s="201" t="s">
        <v>721</v>
      </c>
      <c r="AR1" s="201" t="s">
        <v>722</v>
      </c>
      <c r="AS1" s="201" t="s">
        <v>723</v>
      </c>
      <c r="AT1" s="201" t="s">
        <v>736</v>
      </c>
      <c r="AU1" s="201" t="s">
        <v>724</v>
      </c>
      <c r="AV1" s="201" t="s">
        <v>725</v>
      </c>
      <c r="AW1" s="201" t="s">
        <v>726</v>
      </c>
      <c r="AX1" s="201" t="s">
        <v>826</v>
      </c>
      <c r="AY1" s="201" t="s">
        <v>727</v>
      </c>
      <c r="AZ1" s="201" t="s">
        <v>728</v>
      </c>
      <c r="BA1" s="201" t="s">
        <v>729</v>
      </c>
      <c r="BB1" s="201" t="s">
        <v>730</v>
      </c>
      <c r="BC1" s="201" t="s">
        <v>731</v>
      </c>
      <c r="BD1" s="201" t="s">
        <v>732</v>
      </c>
      <c r="BE1" s="201" t="s">
        <v>733</v>
      </c>
      <c r="BF1" s="154" t="s">
        <v>801</v>
      </c>
      <c r="BG1" s="154" t="s">
        <v>803</v>
      </c>
      <c r="BH1" s="154" t="s">
        <v>802</v>
      </c>
      <c r="BI1" s="154" t="s">
        <v>804</v>
      </c>
      <c r="BJ1" s="154" t="s">
        <v>805</v>
      </c>
      <c r="BK1" s="154" t="s">
        <v>806</v>
      </c>
      <c r="BL1" s="209" t="s">
        <v>807</v>
      </c>
    </row>
    <row r="2" spans="1:64" x14ac:dyDescent="0.3">
      <c r="A2" s="164" t="s">
        <v>50</v>
      </c>
      <c r="B2" s="164" t="s">
        <v>51</v>
      </c>
      <c r="C2" s="164" t="s">
        <v>307</v>
      </c>
      <c r="D2" s="164" t="s">
        <v>307</v>
      </c>
      <c r="E2" s="164">
        <v>2566</v>
      </c>
      <c r="F2" s="164">
        <v>23</v>
      </c>
      <c r="G2" s="164">
        <v>15</v>
      </c>
      <c r="H2" s="164">
        <v>52077</v>
      </c>
      <c r="I2" s="164">
        <v>14</v>
      </c>
      <c r="J2" s="164">
        <v>2</v>
      </c>
      <c r="K2" s="164">
        <v>121544</v>
      </c>
      <c r="L2" s="165">
        <v>47033422</v>
      </c>
      <c r="M2" s="165">
        <v>10252777</v>
      </c>
      <c r="N2" s="165">
        <v>166027</v>
      </c>
      <c r="O2" s="165">
        <v>57452226</v>
      </c>
      <c r="P2" s="170">
        <f t="shared" ref="P2:P22" si="0">L2/O2</f>
        <v>0.818652735927064</v>
      </c>
      <c r="Q2" s="167">
        <v>47656</v>
      </c>
      <c r="R2" s="171">
        <f>'All Data'!$O2/'All Data'!$Q2</f>
        <v>1205.5612304851436</v>
      </c>
      <c r="S2" s="165">
        <v>3053449272</v>
      </c>
      <c r="T2" s="166">
        <v>208913</v>
      </c>
      <c r="U2" s="165">
        <f t="shared" ref="U2:U22" si="1">S2/T2</f>
        <v>14615.889255335953</v>
      </c>
      <c r="V2" s="169">
        <v>1.0504</v>
      </c>
      <c r="W2" s="168">
        <v>8.09</v>
      </c>
      <c r="X2" s="169">
        <v>-9.6000000000000002E-2</v>
      </c>
      <c r="Y2" s="172">
        <v>0.33210000000000001</v>
      </c>
      <c r="Z2" s="176">
        <v>0.7742</v>
      </c>
      <c r="AA2" s="173">
        <v>0.81462267184543213</v>
      </c>
      <c r="AB2" s="177">
        <v>10.31</v>
      </c>
      <c r="AC2" s="172">
        <v>0.38300000000000001</v>
      </c>
      <c r="AD2" s="176">
        <v>0.28499999999999998</v>
      </c>
      <c r="AE2" s="175">
        <v>1880</v>
      </c>
      <c r="AF2" s="174">
        <v>3.1</v>
      </c>
      <c r="AG2" s="178">
        <v>59154</v>
      </c>
      <c r="AH2" s="178">
        <v>53700</v>
      </c>
      <c r="AI2" s="178">
        <v>-5454</v>
      </c>
      <c r="AJ2" s="179">
        <v>-9.2200018465518951E-2</v>
      </c>
      <c r="AK2" s="178">
        <v>12447.999996185303</v>
      </c>
      <c r="AL2" s="178">
        <v>11518.99987411499</v>
      </c>
      <c r="AM2" s="178">
        <v>4029.6666831970215</v>
      </c>
      <c r="AN2" s="179">
        <v>0.29932519793510437</v>
      </c>
      <c r="AO2" s="179">
        <v>0.60806781053543091</v>
      </c>
      <c r="AP2" s="179">
        <v>0.40855324268341064</v>
      </c>
      <c r="AQ2" s="179">
        <v>0.61399999999999999</v>
      </c>
      <c r="AR2" s="179">
        <v>0.80700000000000005</v>
      </c>
      <c r="AS2" s="179">
        <v>0.38200000000000001</v>
      </c>
      <c r="AT2" s="180">
        <v>39050811</v>
      </c>
      <c r="AU2" s="180">
        <v>2076902315</v>
      </c>
      <c r="AV2" s="179">
        <v>1.9E-2</v>
      </c>
      <c r="AW2" s="174" t="s">
        <v>52</v>
      </c>
      <c r="AX2" s="174" t="s">
        <v>53</v>
      </c>
      <c r="AY2" s="174"/>
      <c r="AZ2" s="174" t="s">
        <v>60</v>
      </c>
      <c r="BA2" s="174" t="s">
        <v>53</v>
      </c>
      <c r="BB2" s="174" t="s">
        <v>53</v>
      </c>
      <c r="BC2" s="174" t="s">
        <v>60</v>
      </c>
      <c r="BD2" s="174" t="s">
        <v>53</v>
      </c>
      <c r="BE2" s="174" t="s">
        <v>53</v>
      </c>
      <c r="BF2" s="49" t="s">
        <v>53</v>
      </c>
      <c r="BG2" s="49" t="s">
        <v>53</v>
      </c>
      <c r="BH2" s="49" t="s">
        <v>53</v>
      </c>
      <c r="BI2" s="49" t="s">
        <v>53</v>
      </c>
      <c r="BJ2" s="49" t="s">
        <v>53</v>
      </c>
      <c r="BK2" s="49" t="s">
        <v>53</v>
      </c>
    </row>
    <row r="3" spans="1:64" x14ac:dyDescent="0.3">
      <c r="A3" s="181" t="s">
        <v>54</v>
      </c>
      <c r="B3" s="181" t="s">
        <v>55</v>
      </c>
      <c r="C3" s="181" t="s">
        <v>307</v>
      </c>
      <c r="D3" s="181" t="s">
        <v>307</v>
      </c>
      <c r="E3" s="181">
        <v>391</v>
      </c>
      <c r="F3" s="181">
        <v>0</v>
      </c>
      <c r="G3" s="181">
        <v>0</v>
      </c>
      <c r="H3" s="181"/>
      <c r="I3" s="181">
        <v>4</v>
      </c>
      <c r="J3" s="181">
        <v>1</v>
      </c>
      <c r="K3" s="181">
        <v>11126</v>
      </c>
      <c r="L3" s="182">
        <v>5726501</v>
      </c>
      <c r="M3" s="182">
        <v>7822721</v>
      </c>
      <c r="N3" s="182">
        <v>6512127</v>
      </c>
      <c r="O3" s="182">
        <v>20061349</v>
      </c>
      <c r="P3" s="187">
        <f t="shared" si="0"/>
        <v>0.28544944809045492</v>
      </c>
      <c r="Q3" s="184">
        <v>8058</v>
      </c>
      <c r="R3" s="188">
        <f>'All Data'!$O3/'All Data'!$Q3</f>
        <v>2489.6188880615537</v>
      </c>
      <c r="S3" s="182">
        <v>320672930</v>
      </c>
      <c r="T3" s="183">
        <v>12075</v>
      </c>
      <c r="U3" s="182">
        <f t="shared" si="1"/>
        <v>26556.764389233955</v>
      </c>
      <c r="V3" s="186">
        <v>0.35970000000000002</v>
      </c>
      <c r="W3" s="185">
        <v>6.31</v>
      </c>
      <c r="X3" s="186">
        <v>-0.35299999999999998</v>
      </c>
      <c r="Y3" s="189">
        <v>0.37890000000000001</v>
      </c>
      <c r="Z3" s="193">
        <v>0.73740000000000006</v>
      </c>
      <c r="AA3" s="190">
        <v>1.1257890117875227</v>
      </c>
      <c r="AB3" s="194">
        <v>6.85</v>
      </c>
      <c r="AC3" s="189">
        <v>0.40400000000000003</v>
      </c>
      <c r="AD3" s="193">
        <v>0.31</v>
      </c>
      <c r="AE3" s="192">
        <v>4285</v>
      </c>
      <c r="AF3" s="191">
        <v>4.5999999999999996</v>
      </c>
      <c r="AG3" s="195"/>
      <c r="AH3" s="195"/>
      <c r="AI3" s="195"/>
      <c r="AJ3" s="195"/>
      <c r="AK3" s="195"/>
      <c r="AL3" s="195"/>
      <c r="AM3" s="195"/>
      <c r="AN3" s="195"/>
      <c r="AO3" s="195"/>
      <c r="AP3" s="195"/>
      <c r="AQ3" s="195">
        <v>0.36099999999999999</v>
      </c>
      <c r="AR3" s="195">
        <v>0.69</v>
      </c>
      <c r="AS3" s="195">
        <v>0.441</v>
      </c>
      <c r="AT3" s="188">
        <v>0</v>
      </c>
      <c r="AU3" s="188">
        <v>294598241</v>
      </c>
      <c r="AV3" s="195">
        <v>0</v>
      </c>
      <c r="AW3" s="191" t="s">
        <v>52</v>
      </c>
      <c r="AX3" s="191" t="s">
        <v>53</v>
      </c>
      <c r="AY3" s="191"/>
      <c r="AZ3" s="191" t="s">
        <v>53</v>
      </c>
      <c r="BA3" s="191" t="s">
        <v>53</v>
      </c>
      <c r="BB3" s="191" t="s">
        <v>53</v>
      </c>
      <c r="BC3" s="191" t="s">
        <v>53</v>
      </c>
      <c r="BD3" s="191" t="s">
        <v>53</v>
      </c>
      <c r="BE3" s="191" t="s">
        <v>53</v>
      </c>
      <c r="BF3" s="49" t="s">
        <v>53</v>
      </c>
      <c r="BG3" s="49" t="s">
        <v>53</v>
      </c>
      <c r="BH3" s="49" t="s">
        <v>53</v>
      </c>
      <c r="BI3" s="49" t="s">
        <v>53</v>
      </c>
      <c r="BJ3" s="49" t="s">
        <v>53</v>
      </c>
      <c r="BK3" s="49" t="s">
        <v>53</v>
      </c>
    </row>
    <row r="4" spans="1:64" x14ac:dyDescent="0.3">
      <c r="A4" s="164" t="s">
        <v>56</v>
      </c>
      <c r="B4" s="164" t="s">
        <v>57</v>
      </c>
      <c r="C4" s="164" t="s">
        <v>311</v>
      </c>
      <c r="D4" s="164" t="s">
        <v>307</v>
      </c>
      <c r="E4" s="164">
        <v>3639</v>
      </c>
      <c r="F4" s="164">
        <v>20</v>
      </c>
      <c r="G4" s="164">
        <v>18</v>
      </c>
      <c r="H4" s="164">
        <v>90992</v>
      </c>
      <c r="I4" s="164">
        <v>5</v>
      </c>
      <c r="J4" s="164">
        <v>0</v>
      </c>
      <c r="K4" s="164">
        <v>160197</v>
      </c>
      <c r="L4" s="165">
        <v>77721073</v>
      </c>
      <c r="M4" s="165"/>
      <c r="N4" s="165">
        <v>382749</v>
      </c>
      <c r="O4" s="165">
        <v>78103822</v>
      </c>
      <c r="P4" s="170">
        <f t="shared" si="0"/>
        <v>0.99509948437606544</v>
      </c>
      <c r="Q4" s="167">
        <v>78847</v>
      </c>
      <c r="R4" s="171">
        <f>'All Data'!$O4/'All Data'!$Q4</f>
        <v>990.57442895734778</v>
      </c>
      <c r="S4" s="165">
        <v>2390726700</v>
      </c>
      <c r="T4" s="166">
        <v>305911</v>
      </c>
      <c r="U4" s="165">
        <f t="shared" si="1"/>
        <v>7815.1053737851862</v>
      </c>
      <c r="V4" s="169">
        <v>0.2492</v>
      </c>
      <c r="W4" s="168">
        <v>5.34</v>
      </c>
      <c r="X4" s="169">
        <v>-0.23899999999999999</v>
      </c>
      <c r="Y4" s="172">
        <v>0.32350000000000001</v>
      </c>
      <c r="Z4" s="176">
        <v>0.74850000000000005</v>
      </c>
      <c r="AA4" s="173">
        <v>0.88201521517461845</v>
      </c>
      <c r="AB4" s="177">
        <v>15.68</v>
      </c>
      <c r="AC4" s="172">
        <v>0.42099999999999999</v>
      </c>
      <c r="AD4" s="176">
        <v>0.32600000000000001</v>
      </c>
      <c r="AE4" s="175">
        <v>1448</v>
      </c>
      <c r="AF4" s="174">
        <v>3.6</v>
      </c>
      <c r="AG4" s="178">
        <v>107939</v>
      </c>
      <c r="AH4" s="178">
        <v>91586</v>
      </c>
      <c r="AI4" s="178">
        <v>-16353</v>
      </c>
      <c r="AJ4" s="179">
        <v>-0.15150223672389984</v>
      </c>
      <c r="AK4" s="178">
        <v>10820.666679382324</v>
      </c>
      <c r="AL4" s="178">
        <v>9278.3333110809326</v>
      </c>
      <c r="AM4" s="178">
        <v>9617.6666946411133</v>
      </c>
      <c r="AN4" s="179">
        <v>0.1992175430059433</v>
      </c>
      <c r="AO4" s="179">
        <v>0.61390334367752075</v>
      </c>
      <c r="AP4" s="179">
        <v>0.40463730692863464</v>
      </c>
      <c r="AQ4" s="179">
        <v>0.64300000000000002</v>
      </c>
      <c r="AR4" s="179">
        <v>0.83599999999999997</v>
      </c>
      <c r="AS4" s="179">
        <v>0.55800000000000005</v>
      </c>
      <c r="AT4" s="180">
        <v>0</v>
      </c>
      <c r="AU4" s="180">
        <v>2036636500</v>
      </c>
      <c r="AV4" s="179">
        <v>0</v>
      </c>
      <c r="AW4" s="174" t="s">
        <v>52</v>
      </c>
      <c r="AX4" s="174" t="s">
        <v>60</v>
      </c>
      <c r="AY4" s="174" t="s">
        <v>59</v>
      </c>
      <c r="AZ4" s="174" t="s">
        <v>53</v>
      </c>
      <c r="BA4" s="174" t="s">
        <v>53</v>
      </c>
      <c r="BB4" s="174" t="s">
        <v>53</v>
      </c>
      <c r="BC4" s="174" t="s">
        <v>60</v>
      </c>
      <c r="BD4" s="174" t="s">
        <v>60</v>
      </c>
      <c r="BE4" s="174" t="s">
        <v>53</v>
      </c>
      <c r="BF4" s="23" t="s">
        <v>60</v>
      </c>
      <c r="BG4" s="23" t="s">
        <v>60</v>
      </c>
      <c r="BH4" s="49" t="s">
        <v>53</v>
      </c>
      <c r="BI4" s="49" t="s">
        <v>53</v>
      </c>
      <c r="BJ4" s="49" t="s">
        <v>53</v>
      </c>
      <c r="BK4" s="49" t="s">
        <v>53</v>
      </c>
      <c r="BL4" s="49" t="s">
        <v>808</v>
      </c>
    </row>
    <row r="5" spans="1:64" x14ac:dyDescent="0.3">
      <c r="A5" s="181" t="s">
        <v>61</v>
      </c>
      <c r="B5" s="181" t="s">
        <v>62</v>
      </c>
      <c r="C5" s="181" t="s">
        <v>307</v>
      </c>
      <c r="D5" s="181" t="s">
        <v>307</v>
      </c>
      <c r="E5" s="181">
        <v>1518</v>
      </c>
      <c r="F5" s="181">
        <v>22</v>
      </c>
      <c r="G5" s="181">
        <v>9</v>
      </c>
      <c r="H5" s="181">
        <v>27060</v>
      </c>
      <c r="I5" s="181">
        <v>12</v>
      </c>
      <c r="J5" s="181">
        <v>1</v>
      </c>
      <c r="K5" s="181">
        <v>67793</v>
      </c>
      <c r="L5" s="182">
        <v>175000</v>
      </c>
      <c r="M5" s="182">
        <v>101909564</v>
      </c>
      <c r="N5" s="182">
        <v>3296294</v>
      </c>
      <c r="O5" s="182">
        <v>105380858</v>
      </c>
      <c r="P5" s="187">
        <f t="shared" si="0"/>
        <v>1.6606431502009596E-3</v>
      </c>
      <c r="Q5" s="184">
        <v>31709</v>
      </c>
      <c r="R5" s="188">
        <f>'All Data'!$O5/'All Data'!$Q5</f>
        <v>3323.3737424705919</v>
      </c>
      <c r="S5" s="182">
        <v>1119683135</v>
      </c>
      <c r="T5" s="183">
        <v>106833</v>
      </c>
      <c r="U5" s="182">
        <f t="shared" si="1"/>
        <v>10480.686070783373</v>
      </c>
      <c r="V5" s="186">
        <v>0.25609999999999999</v>
      </c>
      <c r="W5" s="185">
        <v>7.32</v>
      </c>
      <c r="X5" s="186">
        <v>-0.307</v>
      </c>
      <c r="Y5" s="189">
        <v>0.2611</v>
      </c>
      <c r="Z5" s="193">
        <v>0.7</v>
      </c>
      <c r="AA5" s="190">
        <v>0.73783284001741811</v>
      </c>
      <c r="AB5" s="194">
        <v>12.64</v>
      </c>
      <c r="AC5" s="189">
        <v>0.34599999999999997</v>
      </c>
      <c r="AD5" s="193">
        <v>0.25900000000000001</v>
      </c>
      <c r="AE5" s="192">
        <v>2329</v>
      </c>
      <c r="AF5" s="191">
        <v>3.5</v>
      </c>
      <c r="AG5" s="196">
        <v>30838</v>
      </c>
      <c r="AH5" s="196">
        <v>26620</v>
      </c>
      <c r="AI5" s="196">
        <v>-4218</v>
      </c>
      <c r="AJ5" s="197">
        <v>-0.1367792934179306</v>
      </c>
      <c r="AK5" s="196">
        <v>6221.6666564941406</v>
      </c>
      <c r="AL5" s="196">
        <v>5923.6666069030762</v>
      </c>
      <c r="AM5" s="196">
        <v>1893.6666507720947</v>
      </c>
      <c r="AN5" s="197">
        <v>0.35713902115821838</v>
      </c>
      <c r="AO5" s="197">
        <v>0.57363122701644897</v>
      </c>
      <c r="AP5" s="197">
        <v>0.38655167818069458</v>
      </c>
      <c r="AQ5" s="197">
        <v>0.54300000000000004</v>
      </c>
      <c r="AR5" s="197">
        <v>0.76200000000000001</v>
      </c>
      <c r="AS5" s="197">
        <v>0.36399999999999999</v>
      </c>
      <c r="AT5" s="198">
        <v>6339866</v>
      </c>
      <c r="AU5" s="198">
        <v>763953235</v>
      </c>
      <c r="AV5" s="197">
        <v>8.0000000000000002E-3</v>
      </c>
      <c r="AW5" s="191" t="s">
        <v>52</v>
      </c>
      <c r="AX5" s="191" t="s">
        <v>53</v>
      </c>
      <c r="AY5" s="191"/>
      <c r="AZ5" s="191" t="s">
        <v>60</v>
      </c>
      <c r="BA5" s="191" t="s">
        <v>60</v>
      </c>
      <c r="BB5" s="191" t="s">
        <v>60</v>
      </c>
      <c r="BC5" s="191" t="s">
        <v>60</v>
      </c>
      <c r="BD5" s="191" t="s">
        <v>60</v>
      </c>
      <c r="BE5" s="191" t="s">
        <v>60</v>
      </c>
      <c r="BF5" s="49" t="s">
        <v>53</v>
      </c>
      <c r="BG5" s="49" t="s">
        <v>53</v>
      </c>
      <c r="BH5" s="49" t="s">
        <v>53</v>
      </c>
      <c r="BI5" s="49" t="s">
        <v>53</v>
      </c>
      <c r="BJ5" s="49" t="s">
        <v>53</v>
      </c>
      <c r="BK5" s="49" t="s">
        <v>53</v>
      </c>
    </row>
    <row r="6" spans="1:64" ht="39" x14ac:dyDescent="0.3">
      <c r="A6" s="164" t="s">
        <v>2</v>
      </c>
      <c r="B6" s="164" t="s">
        <v>63</v>
      </c>
      <c r="C6" s="164" t="s">
        <v>311</v>
      </c>
      <c r="D6" s="164" t="s">
        <v>311</v>
      </c>
      <c r="E6" s="164">
        <v>20933</v>
      </c>
      <c r="F6" s="164">
        <v>117</v>
      </c>
      <c r="G6" s="164">
        <v>61</v>
      </c>
      <c r="H6" s="164">
        <v>778030</v>
      </c>
      <c r="I6" s="164">
        <v>34</v>
      </c>
      <c r="J6" s="164">
        <v>0</v>
      </c>
      <c r="K6" s="164">
        <v>619471</v>
      </c>
      <c r="L6" s="165">
        <v>2796732812</v>
      </c>
      <c r="M6" s="165">
        <v>1687374</v>
      </c>
      <c r="N6" s="165"/>
      <c r="O6" s="165">
        <v>2798420186</v>
      </c>
      <c r="P6" s="170">
        <f t="shared" si="0"/>
        <v>0.99939702621913551</v>
      </c>
      <c r="Q6" s="167">
        <v>440659</v>
      </c>
      <c r="R6" s="171">
        <f>'All Data'!$O6/'All Data'!$Q6</f>
        <v>6350.5345085428871</v>
      </c>
      <c r="S6" s="165">
        <v>24258776422</v>
      </c>
      <c r="T6" s="166">
        <v>1565065</v>
      </c>
      <c r="U6" s="165">
        <f t="shared" si="1"/>
        <v>15500.171828007144</v>
      </c>
      <c r="V6" s="169">
        <v>0.86060000000000003</v>
      </c>
      <c r="W6" s="168">
        <v>7.63</v>
      </c>
      <c r="X6" s="169">
        <v>0.14000000000000001</v>
      </c>
      <c r="Y6" s="172">
        <v>0.33310000000000001</v>
      </c>
      <c r="Z6" s="176">
        <v>1.1175999999999999</v>
      </c>
      <c r="AA6" s="173">
        <v>1.1025411519424477</v>
      </c>
      <c r="AB6" s="177">
        <v>13.41</v>
      </c>
      <c r="AC6" s="172">
        <v>0.45100000000000001</v>
      </c>
      <c r="AD6" s="176">
        <v>0.374</v>
      </c>
      <c r="AE6" s="175">
        <v>2319</v>
      </c>
      <c r="AF6" s="174">
        <v>5.3</v>
      </c>
      <c r="AG6" s="178">
        <v>914726</v>
      </c>
      <c r="AH6" s="178">
        <v>763050</v>
      </c>
      <c r="AI6" s="178">
        <v>-151676</v>
      </c>
      <c r="AJ6" s="179">
        <v>-0.16581577062606812</v>
      </c>
      <c r="AK6" s="178">
        <v>110906.49982833862</v>
      </c>
      <c r="AL6" s="178">
        <v>90583.333976745605</v>
      </c>
      <c r="AM6" s="178">
        <v>73175.832941532135</v>
      </c>
      <c r="AN6" s="179">
        <v>0.35912081599235535</v>
      </c>
      <c r="AO6" s="179">
        <v>0.69338548183441162</v>
      </c>
      <c r="AP6" s="179">
        <v>0.38274019956588745</v>
      </c>
      <c r="AQ6" s="179">
        <v>0.72099999999999997</v>
      </c>
      <c r="AR6" s="179">
        <v>0.874</v>
      </c>
      <c r="AS6" s="179">
        <v>0.53600000000000003</v>
      </c>
      <c r="AT6" s="180">
        <v>548251469</v>
      </c>
      <c r="AU6" s="180">
        <v>20644896357</v>
      </c>
      <c r="AV6" s="179">
        <v>2.7E-2</v>
      </c>
      <c r="AW6" s="174" t="s">
        <v>64</v>
      </c>
      <c r="AX6" s="174" t="s">
        <v>60</v>
      </c>
      <c r="AY6" s="174" t="s">
        <v>66</v>
      </c>
      <c r="AZ6" s="174" t="s">
        <v>60</v>
      </c>
      <c r="BA6" s="174" t="s">
        <v>53</v>
      </c>
      <c r="BB6" s="174" t="s">
        <v>60</v>
      </c>
      <c r="BC6" s="174" t="s">
        <v>60</v>
      </c>
      <c r="BD6" s="174" t="s">
        <v>60</v>
      </c>
      <c r="BE6" s="174" t="s">
        <v>53</v>
      </c>
      <c r="BF6" s="23" t="s">
        <v>60</v>
      </c>
      <c r="BG6" s="23" t="s">
        <v>60</v>
      </c>
      <c r="BH6" s="23" t="s">
        <v>60</v>
      </c>
      <c r="BI6" s="49" t="s">
        <v>53</v>
      </c>
      <c r="BJ6" s="49" t="s">
        <v>53</v>
      </c>
      <c r="BK6" s="49" t="s">
        <v>53</v>
      </c>
      <c r="BL6" s="49" t="s">
        <v>809</v>
      </c>
    </row>
    <row r="7" spans="1:64" ht="26" x14ac:dyDescent="0.3">
      <c r="A7" s="181" t="s">
        <v>67</v>
      </c>
      <c r="B7" s="181" t="s">
        <v>68</v>
      </c>
      <c r="C7" s="181" t="s">
        <v>311</v>
      </c>
      <c r="D7" s="181" t="s">
        <v>311</v>
      </c>
      <c r="E7" s="181">
        <v>3156</v>
      </c>
      <c r="F7" s="181">
        <v>15</v>
      </c>
      <c r="G7" s="181">
        <v>4</v>
      </c>
      <c r="H7" s="181">
        <v>50965</v>
      </c>
      <c r="I7" s="181">
        <v>14</v>
      </c>
      <c r="J7" s="181">
        <v>2</v>
      </c>
      <c r="K7" s="181">
        <v>123698</v>
      </c>
      <c r="L7" s="182">
        <v>203399026</v>
      </c>
      <c r="M7" s="182">
        <v>1643700</v>
      </c>
      <c r="N7" s="182">
        <v>39165522</v>
      </c>
      <c r="O7" s="182">
        <v>244208248</v>
      </c>
      <c r="P7" s="187">
        <f t="shared" si="0"/>
        <v>0.83289171297768783</v>
      </c>
      <c r="Q7" s="184">
        <v>59952</v>
      </c>
      <c r="R7" s="188">
        <f>'All Data'!$O7/'All Data'!$Q7</f>
        <v>4073.3961836135577</v>
      </c>
      <c r="S7" s="182">
        <v>1431552952</v>
      </c>
      <c r="T7" s="183">
        <v>182416</v>
      </c>
      <c r="U7" s="182">
        <f t="shared" si="1"/>
        <v>7847.737873870713</v>
      </c>
      <c r="V7" s="186">
        <v>1.0166999999999999</v>
      </c>
      <c r="W7" s="185">
        <v>3.27</v>
      </c>
      <c r="X7" s="186">
        <v>3.5000000000000003E-2</v>
      </c>
      <c r="Y7" s="189">
        <v>0.21990000000000001</v>
      </c>
      <c r="Z7" s="193">
        <v>0.73950000000000005</v>
      </c>
      <c r="AA7" s="190">
        <v>1.1534456654209031</v>
      </c>
      <c r="AB7" s="194">
        <v>23.94</v>
      </c>
      <c r="AC7" s="189">
        <v>0.54300000000000004</v>
      </c>
      <c r="AD7" s="193">
        <v>0.45700000000000002</v>
      </c>
      <c r="AE7" s="192">
        <v>2386</v>
      </c>
      <c r="AF7" s="191">
        <v>4.3</v>
      </c>
      <c r="AG7" s="196">
        <v>57412</v>
      </c>
      <c r="AH7" s="196">
        <v>51996</v>
      </c>
      <c r="AI7" s="196">
        <v>-5416</v>
      </c>
      <c r="AJ7" s="197">
        <v>-9.4335675239562988E-2</v>
      </c>
      <c r="AK7" s="196">
        <v>5937.333324432373</v>
      </c>
      <c r="AL7" s="196">
        <v>2355.5</v>
      </c>
      <c r="AM7" s="196">
        <v>1698.3333206176758</v>
      </c>
      <c r="AN7" s="197">
        <v>0.30316638946533203</v>
      </c>
      <c r="AO7" s="197">
        <v>0.57029646635055542</v>
      </c>
      <c r="AP7" s="197">
        <v>0.39941117167472839</v>
      </c>
      <c r="AQ7" s="197">
        <v>0.60199999999999998</v>
      </c>
      <c r="AR7" s="197">
        <v>0.79500000000000004</v>
      </c>
      <c r="AS7" s="197">
        <v>0.46800000000000003</v>
      </c>
      <c r="AT7" s="198">
        <v>889381410</v>
      </c>
      <c r="AU7" s="198">
        <v>1143818212</v>
      </c>
      <c r="AV7" s="197">
        <v>0.77800000000000002</v>
      </c>
      <c r="AW7" s="191" t="s">
        <v>136</v>
      </c>
      <c r="AX7" s="174" t="s">
        <v>60</v>
      </c>
      <c r="AY7" s="191" t="s">
        <v>70</v>
      </c>
      <c r="AZ7" s="191" t="s">
        <v>60</v>
      </c>
      <c r="BA7" s="191" t="s">
        <v>60</v>
      </c>
      <c r="BB7" s="191" t="s">
        <v>60</v>
      </c>
      <c r="BC7" s="191" t="s">
        <v>60</v>
      </c>
      <c r="BD7" s="191" t="s">
        <v>60</v>
      </c>
      <c r="BE7" s="191" t="s">
        <v>60</v>
      </c>
      <c r="BF7" s="49" t="s">
        <v>53</v>
      </c>
      <c r="BG7" s="49" t="s">
        <v>53</v>
      </c>
      <c r="BH7" s="49" t="s">
        <v>53</v>
      </c>
      <c r="BI7" s="49" t="s">
        <v>53</v>
      </c>
      <c r="BJ7" s="49" t="s">
        <v>53</v>
      </c>
      <c r="BK7" s="49" t="s">
        <v>53</v>
      </c>
    </row>
    <row r="8" spans="1:64" x14ac:dyDescent="0.3">
      <c r="A8" s="164" t="s">
        <v>71</v>
      </c>
      <c r="B8" s="164" t="s">
        <v>72</v>
      </c>
      <c r="C8" s="164" t="s">
        <v>311</v>
      </c>
      <c r="D8" s="164" t="s">
        <v>311</v>
      </c>
      <c r="E8" s="164">
        <v>1880</v>
      </c>
      <c r="F8" s="164">
        <v>12</v>
      </c>
      <c r="G8" s="164">
        <v>12</v>
      </c>
      <c r="H8" s="164">
        <v>29317</v>
      </c>
      <c r="I8" s="164">
        <v>11</v>
      </c>
      <c r="J8" s="164">
        <v>0</v>
      </c>
      <c r="K8" s="164">
        <v>46253</v>
      </c>
      <c r="L8" s="165">
        <v>32488718</v>
      </c>
      <c r="M8" s="165">
        <v>17437012</v>
      </c>
      <c r="N8" s="165">
        <v>141749156</v>
      </c>
      <c r="O8" s="165">
        <v>191674886</v>
      </c>
      <c r="P8" s="170">
        <f t="shared" si="0"/>
        <v>0.16949908607223588</v>
      </c>
      <c r="Q8" s="167">
        <v>36729</v>
      </c>
      <c r="R8" s="171">
        <f>'All Data'!$O8/'All Data'!$Q8</f>
        <v>5218.6252280214549</v>
      </c>
      <c r="S8" s="165">
        <v>1605807295</v>
      </c>
      <c r="T8" s="166">
        <v>73958</v>
      </c>
      <c r="U8" s="165">
        <f t="shared" si="1"/>
        <v>21712.421847535086</v>
      </c>
      <c r="V8" s="169">
        <v>0.51459999999999995</v>
      </c>
      <c r="W8" s="168">
        <v>5.37</v>
      </c>
      <c r="X8" s="169">
        <v>5.0999999999999997E-2</v>
      </c>
      <c r="Y8" s="172">
        <v>0.26929999999999998</v>
      </c>
      <c r="Z8" s="176">
        <v>0.85709999999999997</v>
      </c>
      <c r="AA8" s="173">
        <v>0.81932282436538384</v>
      </c>
      <c r="AB8" s="177">
        <v>10.99</v>
      </c>
      <c r="AC8" s="172">
        <v>0.51500000000000001</v>
      </c>
      <c r="AD8" s="176">
        <v>0.439</v>
      </c>
      <c r="AE8" s="175">
        <v>2374</v>
      </c>
      <c r="AF8" s="174">
        <v>3.2</v>
      </c>
      <c r="AG8" s="178">
        <v>28394</v>
      </c>
      <c r="AH8" s="178">
        <v>22169</v>
      </c>
      <c r="AI8" s="178">
        <f>AH8-AG8</f>
        <v>-6225</v>
      </c>
      <c r="AJ8" s="179">
        <f>AI8/AG8</f>
        <v>-0.21923645840670564</v>
      </c>
      <c r="AK8" s="178">
        <v>6677.3333740234375</v>
      </c>
      <c r="AL8" s="178">
        <v>5132.9999694824219</v>
      </c>
      <c r="AM8" s="178">
        <v>2876.0000228881836</v>
      </c>
      <c r="AN8" s="179">
        <v>0.15909545123577118</v>
      </c>
      <c r="AO8" s="179">
        <v>0.56594586372375488</v>
      </c>
      <c r="AP8" s="179">
        <v>0.39279091358184814</v>
      </c>
      <c r="AQ8" s="179">
        <v>0.66700000000000004</v>
      </c>
      <c r="AR8" s="179">
        <v>0.82899999999999996</v>
      </c>
      <c r="AS8" s="179">
        <v>0.44</v>
      </c>
      <c r="AT8" s="180">
        <v>0</v>
      </c>
      <c r="AU8" s="180">
        <v>1223415112</v>
      </c>
      <c r="AV8" s="179">
        <v>0</v>
      </c>
      <c r="AW8" s="174" t="s">
        <v>52</v>
      </c>
      <c r="AX8" s="191" t="s">
        <v>53</v>
      </c>
      <c r="AY8" s="174"/>
      <c r="AZ8" s="174" t="s">
        <v>53</v>
      </c>
      <c r="BA8" s="174" t="s">
        <v>53</v>
      </c>
      <c r="BB8" s="174" t="s">
        <v>60</v>
      </c>
      <c r="BC8" s="174" t="s">
        <v>60</v>
      </c>
      <c r="BD8" s="174" t="s">
        <v>60</v>
      </c>
      <c r="BE8" s="174" t="s">
        <v>53</v>
      </c>
      <c r="BF8" s="49" t="s">
        <v>53</v>
      </c>
      <c r="BG8" s="49" t="s">
        <v>53</v>
      </c>
      <c r="BH8" s="49" t="s">
        <v>53</v>
      </c>
      <c r="BI8" s="49" t="s">
        <v>53</v>
      </c>
      <c r="BJ8" s="49" t="s">
        <v>53</v>
      </c>
      <c r="BK8" s="49" t="s">
        <v>53</v>
      </c>
    </row>
    <row r="9" spans="1:64" x14ac:dyDescent="0.3">
      <c r="A9" s="181" t="s">
        <v>73</v>
      </c>
      <c r="B9" s="181" t="s">
        <v>74</v>
      </c>
      <c r="C9" s="181" t="s">
        <v>311</v>
      </c>
      <c r="D9" s="181" t="s">
        <v>311</v>
      </c>
      <c r="E9" s="181">
        <v>399</v>
      </c>
      <c r="F9" s="181">
        <v>1</v>
      </c>
      <c r="G9" s="181">
        <v>0</v>
      </c>
      <c r="H9" s="181">
        <v>7741</v>
      </c>
      <c r="I9" s="181">
        <v>2</v>
      </c>
      <c r="J9" s="181">
        <v>0</v>
      </c>
      <c r="K9" s="181">
        <v>23454</v>
      </c>
      <c r="L9" s="182">
        <v>18825200</v>
      </c>
      <c r="M9" s="182">
        <v>21073927</v>
      </c>
      <c r="N9" s="182">
        <v>9025</v>
      </c>
      <c r="O9" s="182">
        <v>39908152</v>
      </c>
      <c r="P9" s="187">
        <f t="shared" si="0"/>
        <v>0.47171314772981721</v>
      </c>
      <c r="Q9" s="184">
        <v>9686</v>
      </c>
      <c r="R9" s="188">
        <f>'All Data'!$O9/'All Data'!$Q9</f>
        <v>4120.189138963452</v>
      </c>
      <c r="S9" s="182">
        <v>275699544</v>
      </c>
      <c r="T9" s="183">
        <v>36134</v>
      </c>
      <c r="U9" s="182">
        <f t="shared" si="1"/>
        <v>7629.9204073725577</v>
      </c>
      <c r="V9" s="186">
        <v>0.1953</v>
      </c>
      <c r="W9" s="185">
        <v>4.59</v>
      </c>
      <c r="X9" s="186">
        <v>-0.14799999999999999</v>
      </c>
      <c r="Y9" s="189">
        <v>0.372</v>
      </c>
      <c r="Z9" s="193">
        <v>0.78059999999999996</v>
      </c>
      <c r="AA9" s="190">
        <v>0.65189211686921289</v>
      </c>
      <c r="AB9" s="194">
        <v>15.61</v>
      </c>
      <c r="AC9" s="189">
        <v>0.44500000000000001</v>
      </c>
      <c r="AD9" s="193">
        <v>0.35699999999999998</v>
      </c>
      <c r="AE9" s="192">
        <v>1375</v>
      </c>
      <c r="AF9" s="191">
        <v>3.7</v>
      </c>
      <c r="AG9" s="196">
        <v>8886</v>
      </c>
      <c r="AH9" s="196">
        <v>7251</v>
      </c>
      <c r="AI9" s="196">
        <v>-1635</v>
      </c>
      <c r="AJ9" s="197">
        <v>-0.18399730324745178</v>
      </c>
      <c r="AK9" s="196">
        <v>1914</v>
      </c>
      <c r="AL9" s="196"/>
      <c r="AM9" s="196"/>
      <c r="AN9" s="197">
        <v>0.19784046709537506</v>
      </c>
      <c r="AO9" s="197"/>
      <c r="AP9" s="197"/>
      <c r="AQ9" s="197">
        <v>0.751</v>
      </c>
      <c r="AR9" s="197">
        <v>0.875</v>
      </c>
      <c r="AS9" s="197">
        <v>0.20300000000000001</v>
      </c>
      <c r="AT9" s="198">
        <v>0</v>
      </c>
      <c r="AU9" s="198">
        <v>253990300</v>
      </c>
      <c r="AV9" s="197">
        <v>0</v>
      </c>
      <c r="AW9" s="191" t="s">
        <v>52</v>
      </c>
      <c r="AX9" s="191" t="s">
        <v>53</v>
      </c>
      <c r="AY9" s="191"/>
      <c r="AZ9" s="191" t="s">
        <v>53</v>
      </c>
      <c r="BA9" s="191" t="s">
        <v>53</v>
      </c>
      <c r="BB9" s="191" t="s">
        <v>60</v>
      </c>
      <c r="BC9" s="191" t="s">
        <v>60</v>
      </c>
      <c r="BD9" s="191" t="s">
        <v>53</v>
      </c>
      <c r="BE9" s="191" t="s">
        <v>53</v>
      </c>
      <c r="BF9" s="49" t="s">
        <v>53</v>
      </c>
      <c r="BG9" s="49" t="s">
        <v>53</v>
      </c>
      <c r="BH9" s="49" t="s">
        <v>53</v>
      </c>
      <c r="BI9" s="49" t="s">
        <v>53</v>
      </c>
      <c r="BJ9" s="49" t="s">
        <v>53</v>
      </c>
      <c r="BK9" s="49" t="s">
        <v>53</v>
      </c>
    </row>
    <row r="10" spans="1:64" x14ac:dyDescent="0.3">
      <c r="A10" s="164" t="s">
        <v>75</v>
      </c>
      <c r="B10" s="164" t="s">
        <v>76</v>
      </c>
      <c r="C10" s="164" t="s">
        <v>307</v>
      </c>
      <c r="D10" s="164" t="s">
        <v>307</v>
      </c>
      <c r="E10" s="164">
        <v>11221</v>
      </c>
      <c r="F10" s="164">
        <v>28</v>
      </c>
      <c r="G10" s="164">
        <v>1</v>
      </c>
      <c r="H10" s="164">
        <v>278703</v>
      </c>
      <c r="I10" s="164">
        <v>13</v>
      </c>
      <c r="J10" s="164">
        <v>0</v>
      </c>
      <c r="K10" s="164">
        <v>265228</v>
      </c>
      <c r="L10" s="165">
        <v>293854259</v>
      </c>
      <c r="M10" s="165">
        <v>664669634</v>
      </c>
      <c r="N10" s="165">
        <v>72082704</v>
      </c>
      <c r="O10" s="165">
        <v>1030606597</v>
      </c>
      <c r="P10" s="170">
        <f t="shared" si="0"/>
        <v>0.28512747721136505</v>
      </c>
      <c r="Q10" s="167">
        <v>190683</v>
      </c>
      <c r="R10" s="171">
        <f>'All Data'!$O10/'All Data'!$Q10</f>
        <v>5404.816354892675</v>
      </c>
      <c r="S10" s="165">
        <v>6192271162</v>
      </c>
      <c r="T10" s="166">
        <v>566755</v>
      </c>
      <c r="U10" s="165">
        <f t="shared" si="1"/>
        <v>10925.834199962947</v>
      </c>
      <c r="V10" s="169">
        <v>0.69789999999999996</v>
      </c>
      <c r="W10" s="168">
        <v>4.3499999999999996</v>
      </c>
      <c r="X10" s="169">
        <v>-7.8E-2</v>
      </c>
      <c r="Y10" s="172">
        <v>0.28489999999999999</v>
      </c>
      <c r="Z10" s="176">
        <v>0.69679999999999997</v>
      </c>
      <c r="AA10" s="173">
        <v>1.3234072148061908</v>
      </c>
      <c r="AB10" s="177">
        <v>15.3</v>
      </c>
      <c r="AC10" s="172">
        <v>0.44900000000000001</v>
      </c>
      <c r="AD10" s="176">
        <v>0.33900000000000002</v>
      </c>
      <c r="AE10" s="175">
        <v>1745</v>
      </c>
      <c r="AF10" s="174">
        <v>3.4</v>
      </c>
      <c r="AG10" s="178">
        <v>317456</v>
      </c>
      <c r="AH10" s="178">
        <v>269431</v>
      </c>
      <c r="AI10" s="178">
        <v>-48025</v>
      </c>
      <c r="AJ10" s="179">
        <v>-0.15128080546855927</v>
      </c>
      <c r="AK10" s="178">
        <v>46443.000396728516</v>
      </c>
      <c r="AL10" s="178">
        <v>3186</v>
      </c>
      <c r="AM10" s="178">
        <v>1500</v>
      </c>
      <c r="AN10" s="179">
        <v>0.41173768043518066</v>
      </c>
      <c r="AO10" s="179">
        <v>0.60828626155853271</v>
      </c>
      <c r="AP10" s="179">
        <v>0.47999998927116394</v>
      </c>
      <c r="AQ10" s="179">
        <v>0.74199999999999999</v>
      </c>
      <c r="AR10" s="179">
        <v>0.9</v>
      </c>
      <c r="AS10" s="179">
        <v>0.76200000000000001</v>
      </c>
      <c r="AT10" s="180">
        <v>400000000</v>
      </c>
      <c r="AU10" s="180">
        <v>5566378793</v>
      </c>
      <c r="AV10" s="179">
        <v>7.1999999999999995E-2</v>
      </c>
      <c r="AW10" s="174" t="s">
        <v>52</v>
      </c>
      <c r="AX10" s="191" t="s">
        <v>53</v>
      </c>
      <c r="AY10" s="174"/>
      <c r="AZ10" s="174" t="s">
        <v>60</v>
      </c>
      <c r="BA10" s="174" t="s">
        <v>60</v>
      </c>
      <c r="BB10" s="174" t="s">
        <v>53</v>
      </c>
      <c r="BC10" s="174" t="s">
        <v>60</v>
      </c>
      <c r="BD10" s="174" t="s">
        <v>60</v>
      </c>
      <c r="BE10" s="174" t="s">
        <v>60</v>
      </c>
      <c r="BF10" s="23" t="s">
        <v>60</v>
      </c>
      <c r="BG10" s="23" t="s">
        <v>60</v>
      </c>
      <c r="BH10" s="49" t="s">
        <v>53</v>
      </c>
      <c r="BI10" s="49" t="s">
        <v>53</v>
      </c>
      <c r="BJ10" s="49" t="s">
        <v>53</v>
      </c>
      <c r="BK10" s="49" t="s">
        <v>53</v>
      </c>
      <c r="BL10" s="49" t="s">
        <v>809</v>
      </c>
    </row>
    <row r="11" spans="1:64" x14ac:dyDescent="0.3">
      <c r="A11" s="181" t="s">
        <v>77</v>
      </c>
      <c r="B11" s="181" t="s">
        <v>78</v>
      </c>
      <c r="C11" s="181" t="s">
        <v>307</v>
      </c>
      <c r="D11" s="181" t="s">
        <v>307</v>
      </c>
      <c r="E11" s="181">
        <v>5671</v>
      </c>
      <c r="F11" s="181">
        <v>30</v>
      </c>
      <c r="G11" s="181">
        <v>9</v>
      </c>
      <c r="H11" s="181">
        <v>90780</v>
      </c>
      <c r="I11" s="181">
        <v>20</v>
      </c>
      <c r="J11" s="181">
        <v>7</v>
      </c>
      <c r="K11" s="181">
        <v>210655</v>
      </c>
      <c r="L11" s="182">
        <v>8318727</v>
      </c>
      <c r="M11" s="182">
        <v>938796012</v>
      </c>
      <c r="N11" s="182">
        <v>24643874</v>
      </c>
      <c r="O11" s="182">
        <v>971758613</v>
      </c>
      <c r="P11" s="187">
        <f t="shared" si="0"/>
        <v>8.56048702703909E-3</v>
      </c>
      <c r="Q11" s="184">
        <v>115718</v>
      </c>
      <c r="R11" s="188">
        <f>'All Data'!$O11/'All Data'!$Q11</f>
        <v>8397.6443854888603</v>
      </c>
      <c r="S11" s="182">
        <v>4625058914</v>
      </c>
      <c r="T11" s="183">
        <v>355827</v>
      </c>
      <c r="U11" s="182">
        <f t="shared" si="1"/>
        <v>12998.054993016269</v>
      </c>
      <c r="V11" s="186">
        <v>0.66459999999999997</v>
      </c>
      <c r="W11" s="185">
        <v>6.82</v>
      </c>
      <c r="X11" s="186">
        <v>-5.6000000000000001E-2</v>
      </c>
      <c r="Y11" s="189">
        <v>0.28570000000000001</v>
      </c>
      <c r="Z11" s="193">
        <v>0.85099999999999998</v>
      </c>
      <c r="AA11" s="190">
        <v>0.50605351083880212</v>
      </c>
      <c r="AB11" s="194">
        <v>12.31</v>
      </c>
      <c r="AC11" s="189">
        <v>0.44400000000000001</v>
      </c>
      <c r="AD11" s="193">
        <v>0.35699999999999998</v>
      </c>
      <c r="AE11" s="192">
        <v>1615</v>
      </c>
      <c r="AF11" s="191">
        <v>3.5</v>
      </c>
      <c r="AG11" s="196">
        <v>105410</v>
      </c>
      <c r="AH11" s="196">
        <v>89402</v>
      </c>
      <c r="AI11" s="196">
        <v>-16008</v>
      </c>
      <c r="AJ11" s="197">
        <v>-0.15186415612697601</v>
      </c>
      <c r="AK11" s="196">
        <v>12877.666506290436</v>
      </c>
      <c r="AL11" s="196">
        <v>8519.6665916442871</v>
      </c>
      <c r="AM11" s="196">
        <v>8762.0000166893005</v>
      </c>
      <c r="AN11" s="197">
        <v>0.32612016797065735</v>
      </c>
      <c r="AO11" s="197">
        <v>0.60710513591766357</v>
      </c>
      <c r="AP11" s="197">
        <v>0.45569884777069092</v>
      </c>
      <c r="AQ11" s="197">
        <v>0.55300000000000005</v>
      </c>
      <c r="AR11" s="197">
        <v>0.77100000000000002</v>
      </c>
      <c r="AS11" s="197">
        <v>0.48699999999999999</v>
      </c>
      <c r="AT11" s="198">
        <v>0</v>
      </c>
      <c r="AU11" s="198">
        <v>3357742416</v>
      </c>
      <c r="AV11" s="197">
        <v>0</v>
      </c>
      <c r="AW11" s="191" t="s">
        <v>52</v>
      </c>
      <c r="AX11" s="174" t="s">
        <v>60</v>
      </c>
      <c r="AY11" s="191" t="s">
        <v>80</v>
      </c>
      <c r="AZ11" s="191" t="s">
        <v>53</v>
      </c>
      <c r="BA11" s="191" t="s">
        <v>53</v>
      </c>
      <c r="BB11" s="191" t="s">
        <v>60</v>
      </c>
      <c r="BC11" s="191" t="s">
        <v>60</v>
      </c>
      <c r="BD11" s="191" t="s">
        <v>60</v>
      </c>
      <c r="BE11" s="191" t="s">
        <v>60</v>
      </c>
      <c r="BF11" s="23" t="s">
        <v>60</v>
      </c>
      <c r="BG11" s="49" t="s">
        <v>53</v>
      </c>
      <c r="BH11" s="49" t="s">
        <v>53</v>
      </c>
      <c r="BI11" s="49" t="s">
        <v>53</v>
      </c>
      <c r="BJ11" s="49" t="s">
        <v>53</v>
      </c>
      <c r="BK11" s="49" t="s">
        <v>53</v>
      </c>
      <c r="BL11" s="49" t="s">
        <v>809</v>
      </c>
    </row>
    <row r="12" spans="1:64" x14ac:dyDescent="0.3">
      <c r="A12" s="164" t="s">
        <v>81</v>
      </c>
      <c r="B12" s="164" t="s">
        <v>82</v>
      </c>
      <c r="C12" s="164" t="s">
        <v>311</v>
      </c>
      <c r="D12" s="164" t="s">
        <v>311</v>
      </c>
      <c r="E12" s="164">
        <v>740</v>
      </c>
      <c r="F12" s="164">
        <v>7</v>
      </c>
      <c r="G12" s="164">
        <v>6</v>
      </c>
      <c r="H12" s="164">
        <v>12480</v>
      </c>
      <c r="I12" s="164">
        <v>3</v>
      </c>
      <c r="J12" s="164">
        <v>0</v>
      </c>
      <c r="K12" s="164">
        <v>17063</v>
      </c>
      <c r="L12" s="165">
        <v>6799977</v>
      </c>
      <c r="M12" s="165"/>
      <c r="N12" s="165">
        <v>331911</v>
      </c>
      <c r="O12" s="165">
        <v>7131888</v>
      </c>
      <c r="P12" s="170">
        <f t="shared" si="0"/>
        <v>0.95346099097461989</v>
      </c>
      <c r="Q12" s="167">
        <v>11358</v>
      </c>
      <c r="R12" s="171">
        <f>'All Data'!$O12/'All Data'!$Q12</f>
        <v>627.9175911251981</v>
      </c>
      <c r="S12" s="165">
        <v>844156002</v>
      </c>
      <c r="T12" s="166">
        <v>32363</v>
      </c>
      <c r="U12" s="165">
        <f t="shared" si="1"/>
        <v>26083.984859252851</v>
      </c>
      <c r="V12" s="169">
        <v>1.0141</v>
      </c>
      <c r="W12" s="168">
        <v>8.7100000000000009</v>
      </c>
      <c r="X12" s="169">
        <v>-1.4999999999999999E-2</v>
      </c>
      <c r="Y12" s="172">
        <v>0.24399999999999999</v>
      </c>
      <c r="Z12" s="176">
        <v>0.57889999999999997</v>
      </c>
      <c r="AA12" s="173">
        <v>0</v>
      </c>
      <c r="AB12" s="177">
        <v>0</v>
      </c>
      <c r="AC12" s="172">
        <v>0.48</v>
      </c>
      <c r="AD12" s="176">
        <v>0.36099999999999999</v>
      </c>
      <c r="AE12" s="175">
        <v>1955</v>
      </c>
      <c r="AF12" s="174">
        <v>3</v>
      </c>
      <c r="AG12" s="178">
        <v>14819</v>
      </c>
      <c r="AH12" s="178">
        <v>11619</v>
      </c>
      <c r="AI12" s="178">
        <v>-3200</v>
      </c>
      <c r="AJ12" s="179">
        <v>-0.215939000248909</v>
      </c>
      <c r="AK12" s="178">
        <v>2215</v>
      </c>
      <c r="AL12" s="178">
        <v>1959.999981880188</v>
      </c>
      <c r="AM12" s="178">
        <v>1228.0000128746033</v>
      </c>
      <c r="AN12" s="179">
        <v>0.27569600939750671</v>
      </c>
      <c r="AO12" s="179">
        <v>0.6448979377746582</v>
      </c>
      <c r="AP12" s="179">
        <v>0.47122693061828613</v>
      </c>
      <c r="AQ12" s="179">
        <v>0.56200000000000006</v>
      </c>
      <c r="AR12" s="179">
        <v>0.77300000000000002</v>
      </c>
      <c r="AS12" s="179">
        <v>0.47099999999999997</v>
      </c>
      <c r="AT12" s="180">
        <v>1932165</v>
      </c>
      <c r="AU12" s="180">
        <v>721159718</v>
      </c>
      <c r="AV12" s="179">
        <v>3.0000000000000001E-3</v>
      </c>
      <c r="AW12" s="174" t="s">
        <v>52</v>
      </c>
      <c r="AX12" s="191" t="s">
        <v>53</v>
      </c>
      <c r="AY12" s="174"/>
      <c r="AZ12" s="174" t="s">
        <v>60</v>
      </c>
      <c r="BA12" s="174" t="s">
        <v>60</v>
      </c>
      <c r="BB12" s="174" t="s">
        <v>60</v>
      </c>
      <c r="BC12" s="174" t="s">
        <v>60</v>
      </c>
      <c r="BD12" s="174" t="s">
        <v>60</v>
      </c>
      <c r="BE12" s="174" t="s">
        <v>60</v>
      </c>
      <c r="BF12" s="49" t="s">
        <v>53</v>
      </c>
      <c r="BG12" s="49" t="s">
        <v>53</v>
      </c>
      <c r="BH12" s="49" t="s">
        <v>53</v>
      </c>
      <c r="BI12" s="49" t="s">
        <v>53</v>
      </c>
      <c r="BJ12" s="49" t="s">
        <v>53</v>
      </c>
      <c r="BK12" s="49" t="s">
        <v>53</v>
      </c>
    </row>
    <row r="13" spans="1:64" x14ac:dyDescent="0.3">
      <c r="A13" s="181" t="s">
        <v>83</v>
      </c>
      <c r="B13" s="181" t="s">
        <v>84</v>
      </c>
      <c r="C13" s="181" t="s">
        <v>307</v>
      </c>
      <c r="D13" s="181" t="s">
        <v>307</v>
      </c>
      <c r="E13" s="181">
        <v>932</v>
      </c>
      <c r="F13" s="181">
        <v>4</v>
      </c>
      <c r="G13" s="181">
        <v>2</v>
      </c>
      <c r="H13" s="181">
        <v>14854</v>
      </c>
      <c r="I13" s="181">
        <v>4</v>
      </c>
      <c r="J13" s="181">
        <v>0</v>
      </c>
      <c r="K13" s="181">
        <v>32578</v>
      </c>
      <c r="L13" s="182">
        <v>20347354</v>
      </c>
      <c r="M13" s="182">
        <v>298945</v>
      </c>
      <c r="N13" s="182">
        <v>951409</v>
      </c>
      <c r="O13" s="182">
        <v>21597708</v>
      </c>
      <c r="P13" s="187">
        <f t="shared" si="0"/>
        <v>0.94210709766054801</v>
      </c>
      <c r="Q13" s="184">
        <v>21549</v>
      </c>
      <c r="R13" s="188">
        <f>'All Data'!$O13/'All Data'!$Q13</f>
        <v>1002.2603369065849</v>
      </c>
      <c r="S13" s="182">
        <v>632151260</v>
      </c>
      <c r="T13" s="183">
        <v>54311</v>
      </c>
      <c r="U13" s="182">
        <f t="shared" si="1"/>
        <v>11639.470088932261</v>
      </c>
      <c r="V13" s="186">
        <v>0.63849999999999996</v>
      </c>
      <c r="W13" s="185">
        <v>5.89</v>
      </c>
      <c r="X13" s="186">
        <v>-0.129</v>
      </c>
      <c r="Y13" s="189">
        <v>0.15679999999999999</v>
      </c>
      <c r="Z13" s="193">
        <v>0.52780000000000005</v>
      </c>
      <c r="AA13" s="190">
        <v>1.1052759219396198</v>
      </c>
      <c r="AB13" s="194">
        <v>14.13</v>
      </c>
      <c r="AC13" s="189">
        <v>0.41599999999999998</v>
      </c>
      <c r="AD13" s="193">
        <v>0.314</v>
      </c>
      <c r="AE13" s="192">
        <v>1442</v>
      </c>
      <c r="AF13" s="191">
        <v>3.7</v>
      </c>
      <c r="AG13" s="196">
        <v>14833</v>
      </c>
      <c r="AH13" s="196">
        <v>14911</v>
      </c>
      <c r="AI13" s="196">
        <v>78</v>
      </c>
      <c r="AJ13" s="197">
        <v>5.2585452795028687E-3</v>
      </c>
      <c r="AK13" s="196">
        <v>2267.3333129882813</v>
      </c>
      <c r="AL13" s="196">
        <v>1654.6666412353516</v>
      </c>
      <c r="AM13" s="196">
        <v>1127.3333435058594</v>
      </c>
      <c r="AN13" s="197">
        <v>0.29608938097953796</v>
      </c>
      <c r="AO13" s="197">
        <v>0.57796132564544678</v>
      </c>
      <c r="AP13" s="197">
        <v>0.4266706109046936</v>
      </c>
      <c r="AQ13" s="197">
        <v>0.53300000000000003</v>
      </c>
      <c r="AR13" s="197">
        <v>0.74199999999999999</v>
      </c>
      <c r="AS13" s="197">
        <v>0.377</v>
      </c>
      <c r="AT13" s="198">
        <v>0</v>
      </c>
      <c r="AU13" s="198">
        <v>599156707</v>
      </c>
      <c r="AV13" s="197">
        <v>0</v>
      </c>
      <c r="AW13" s="191" t="s">
        <v>52</v>
      </c>
      <c r="AX13" s="191" t="s">
        <v>53</v>
      </c>
      <c r="AY13" s="191"/>
      <c r="AZ13" s="191" t="s">
        <v>53</v>
      </c>
      <c r="BA13" s="191" t="s">
        <v>53</v>
      </c>
      <c r="BB13" s="191" t="s">
        <v>53</v>
      </c>
      <c r="BC13" s="191" t="s">
        <v>60</v>
      </c>
      <c r="BD13" s="191" t="s">
        <v>60</v>
      </c>
      <c r="BE13" s="191" t="s">
        <v>60</v>
      </c>
      <c r="BF13" s="49" t="s">
        <v>53</v>
      </c>
      <c r="BG13" s="23" t="s">
        <v>60</v>
      </c>
      <c r="BH13" s="49" t="s">
        <v>53</v>
      </c>
      <c r="BI13" s="49" t="s">
        <v>53</v>
      </c>
      <c r="BJ13" s="49" t="s">
        <v>53</v>
      </c>
      <c r="BK13" s="49" t="s">
        <v>53</v>
      </c>
      <c r="BL13" s="49" t="s">
        <v>809</v>
      </c>
    </row>
    <row r="14" spans="1:64" x14ac:dyDescent="0.3">
      <c r="A14" s="164" t="s">
        <v>85</v>
      </c>
      <c r="B14" s="164" t="s">
        <v>86</v>
      </c>
      <c r="C14" s="164" t="s">
        <v>311</v>
      </c>
      <c r="D14" s="164" t="s">
        <v>311</v>
      </c>
      <c r="E14" s="164">
        <v>6637</v>
      </c>
      <c r="F14" s="164">
        <v>48</v>
      </c>
      <c r="G14" s="164">
        <v>21</v>
      </c>
      <c r="H14" s="164">
        <v>158369</v>
      </c>
      <c r="I14" s="164">
        <v>12</v>
      </c>
      <c r="J14" s="164">
        <v>3</v>
      </c>
      <c r="K14" s="164">
        <v>118389</v>
      </c>
      <c r="L14" s="165">
        <v>598017290</v>
      </c>
      <c r="M14" s="165">
        <v>830917</v>
      </c>
      <c r="N14" s="165">
        <v>6855277</v>
      </c>
      <c r="O14" s="165">
        <v>605703484</v>
      </c>
      <c r="P14" s="170">
        <f t="shared" si="0"/>
        <v>0.98731030247796958</v>
      </c>
      <c r="Q14" s="167">
        <v>133737</v>
      </c>
      <c r="R14" s="171">
        <f>'All Data'!$O14/'All Data'!$Q14</f>
        <v>4529.0643875666419</v>
      </c>
      <c r="S14" s="165">
        <v>6306979863</v>
      </c>
      <c r="T14" s="166">
        <v>283714</v>
      </c>
      <c r="U14" s="165">
        <f t="shared" si="1"/>
        <v>22230.062185863229</v>
      </c>
      <c r="V14" s="169">
        <v>0.60170000000000001</v>
      </c>
      <c r="W14" s="168">
        <v>7.44</v>
      </c>
      <c r="X14" s="169">
        <v>-9.5000000000000001E-2</v>
      </c>
      <c r="Y14" s="172">
        <v>0.3</v>
      </c>
      <c r="Z14" s="176">
        <v>0.93330000000000002</v>
      </c>
      <c r="AA14" s="173">
        <v>0.81215073939619686</v>
      </c>
      <c r="AB14" s="177">
        <v>15.54</v>
      </c>
      <c r="AC14" s="172">
        <v>0.48499999999999999</v>
      </c>
      <c r="AD14" s="176">
        <v>0.39700000000000002</v>
      </c>
      <c r="AE14" s="175">
        <v>2902</v>
      </c>
      <c r="AF14" s="174">
        <v>5</v>
      </c>
      <c r="AG14" s="178">
        <v>192124</v>
      </c>
      <c r="AH14" s="178">
        <v>159205</v>
      </c>
      <c r="AI14" s="178">
        <v>-32919</v>
      </c>
      <c r="AJ14" s="179">
        <v>-0.17134246230125427</v>
      </c>
      <c r="AK14" s="178">
        <v>26357.666732788086</v>
      </c>
      <c r="AL14" s="178">
        <v>25100.666641235352</v>
      </c>
      <c r="AM14" s="178">
        <v>10964.33327293396</v>
      </c>
      <c r="AN14" s="179">
        <v>0.34690728783607483</v>
      </c>
      <c r="AO14" s="179">
        <v>0.65606492757797241</v>
      </c>
      <c r="AP14" s="179">
        <v>0.45787858963012695</v>
      </c>
      <c r="AQ14" s="179">
        <v>0.64100000000000001</v>
      </c>
      <c r="AR14" s="179">
        <v>0.82099999999999995</v>
      </c>
      <c r="AS14" s="179">
        <v>0.41499999999999998</v>
      </c>
      <c r="AT14" s="180">
        <v>359000</v>
      </c>
      <c r="AU14" s="180">
        <v>5766162763</v>
      </c>
      <c r="AV14" s="179">
        <v>0</v>
      </c>
      <c r="AW14" s="174" t="s">
        <v>52</v>
      </c>
      <c r="AX14" s="191" t="s">
        <v>53</v>
      </c>
      <c r="AY14" s="174"/>
      <c r="AZ14" s="174" t="s">
        <v>60</v>
      </c>
      <c r="BA14" s="174" t="s">
        <v>53</v>
      </c>
      <c r="BB14" s="174" t="s">
        <v>53</v>
      </c>
      <c r="BC14" s="174" t="s">
        <v>60</v>
      </c>
      <c r="BD14" s="174" t="s">
        <v>60</v>
      </c>
      <c r="BE14" s="174" t="s">
        <v>60</v>
      </c>
      <c r="BF14" s="49" t="s">
        <v>53</v>
      </c>
      <c r="BG14" s="23" t="s">
        <v>60</v>
      </c>
      <c r="BH14" s="49" t="s">
        <v>53</v>
      </c>
      <c r="BI14" s="49" t="s">
        <v>53</v>
      </c>
      <c r="BJ14" s="49" t="s">
        <v>53</v>
      </c>
      <c r="BK14" s="23" t="s">
        <v>60</v>
      </c>
      <c r="BL14" s="49" t="s">
        <v>809</v>
      </c>
    </row>
    <row r="15" spans="1:64" x14ac:dyDescent="0.3">
      <c r="A15" s="181" t="s">
        <v>87</v>
      </c>
      <c r="B15" s="181" t="s">
        <v>88</v>
      </c>
      <c r="C15" s="181" t="s">
        <v>307</v>
      </c>
      <c r="D15" s="181" t="s">
        <v>307</v>
      </c>
      <c r="E15" s="181">
        <v>3442</v>
      </c>
      <c r="F15" s="181">
        <v>2</v>
      </c>
      <c r="G15" s="181">
        <v>2</v>
      </c>
      <c r="H15" s="181">
        <v>61796</v>
      </c>
      <c r="I15" s="181">
        <v>14</v>
      </c>
      <c r="J15" s="181">
        <v>1</v>
      </c>
      <c r="K15" s="181">
        <v>181780</v>
      </c>
      <c r="L15" s="182">
        <v>272255104</v>
      </c>
      <c r="M15" s="182">
        <v>13864947</v>
      </c>
      <c r="N15" s="182">
        <v>39609045</v>
      </c>
      <c r="O15" s="182">
        <v>325729096</v>
      </c>
      <c r="P15" s="187">
        <f t="shared" si="0"/>
        <v>0.83583292786346608</v>
      </c>
      <c r="Q15" s="184">
        <v>70844</v>
      </c>
      <c r="R15" s="188">
        <f>'All Data'!$O15/'All Data'!$Q15</f>
        <v>4597.8360341030993</v>
      </c>
      <c r="S15" s="182">
        <v>1912685216</v>
      </c>
      <c r="T15" s="183">
        <v>243770</v>
      </c>
      <c r="U15" s="182">
        <f t="shared" si="1"/>
        <v>7846.2699101612179</v>
      </c>
      <c r="V15" s="186">
        <v>0.21990000000000001</v>
      </c>
      <c r="W15" s="185">
        <v>4.9800000000000004</v>
      </c>
      <c r="X15" s="186">
        <v>-0.219</v>
      </c>
      <c r="Y15" s="189">
        <v>0.28179999999999999</v>
      </c>
      <c r="Z15" s="193">
        <v>0.59079999999999999</v>
      </c>
      <c r="AA15" s="190">
        <v>1.1680572940819591</v>
      </c>
      <c r="AB15" s="194">
        <v>10.66</v>
      </c>
      <c r="AC15" s="189">
        <v>0.40500000000000003</v>
      </c>
      <c r="AD15" s="193">
        <v>0.30599999999999999</v>
      </c>
      <c r="AE15" s="192">
        <v>2304</v>
      </c>
      <c r="AF15" s="191">
        <v>4.2</v>
      </c>
      <c r="AG15" s="196">
        <v>63898</v>
      </c>
      <c r="AH15" s="196">
        <v>62488</v>
      </c>
      <c r="AI15" s="196">
        <v>-1410</v>
      </c>
      <c r="AJ15" s="197">
        <v>-2.2066418081521988E-2</v>
      </c>
      <c r="AK15" s="196">
        <v>5340.6666679382324</v>
      </c>
      <c r="AL15" s="196">
        <v>4804.3333339691162</v>
      </c>
      <c r="AM15" s="196">
        <v>6912.9998371601105</v>
      </c>
      <c r="AN15" s="197">
        <v>0.32112094759941101</v>
      </c>
      <c r="AO15" s="197">
        <v>0.56116008758544922</v>
      </c>
      <c r="AP15" s="197">
        <v>0.41323113441467285</v>
      </c>
      <c r="AQ15" s="197">
        <v>0.64500000000000002</v>
      </c>
      <c r="AR15" s="197">
        <v>0.80600000000000005</v>
      </c>
      <c r="AS15" s="197">
        <v>0.40300000000000002</v>
      </c>
      <c r="AT15" s="198">
        <v>23897181</v>
      </c>
      <c r="AU15" s="198">
        <v>1356725713</v>
      </c>
      <c r="AV15" s="197">
        <v>1.7999999999999999E-2</v>
      </c>
      <c r="AW15" s="191" t="s">
        <v>52</v>
      </c>
      <c r="AX15" s="174" t="s">
        <v>60</v>
      </c>
      <c r="AY15" s="191" t="s">
        <v>89</v>
      </c>
      <c r="AZ15" s="191" t="s">
        <v>60</v>
      </c>
      <c r="BA15" s="191" t="s">
        <v>60</v>
      </c>
      <c r="BB15" s="191" t="s">
        <v>60</v>
      </c>
      <c r="BC15" s="191" t="s">
        <v>60</v>
      </c>
      <c r="BD15" s="191" t="s">
        <v>60</v>
      </c>
      <c r="BE15" s="191" t="s">
        <v>60</v>
      </c>
      <c r="BF15" s="23" t="s">
        <v>60</v>
      </c>
      <c r="BG15" s="23" t="s">
        <v>60</v>
      </c>
      <c r="BH15" s="49" t="s">
        <v>53</v>
      </c>
      <c r="BI15" s="49" t="s">
        <v>53</v>
      </c>
      <c r="BJ15" s="49" t="s">
        <v>53</v>
      </c>
      <c r="BK15" s="49" t="s">
        <v>53</v>
      </c>
      <c r="BL15" s="49" t="s">
        <v>809</v>
      </c>
    </row>
    <row r="16" spans="1:64" x14ac:dyDescent="0.3">
      <c r="A16" s="164" t="s">
        <v>90</v>
      </c>
      <c r="B16" s="164" t="s">
        <v>91</v>
      </c>
      <c r="C16" s="164" t="s">
        <v>307</v>
      </c>
      <c r="D16" s="164" t="s">
        <v>307</v>
      </c>
      <c r="E16" s="164">
        <v>1573</v>
      </c>
      <c r="F16" s="164">
        <v>16</v>
      </c>
      <c r="G16" s="164">
        <v>2</v>
      </c>
      <c r="H16" s="164">
        <v>51865</v>
      </c>
      <c r="I16" s="164">
        <v>3</v>
      </c>
      <c r="J16" s="164">
        <v>0</v>
      </c>
      <c r="K16" s="164">
        <v>52773</v>
      </c>
      <c r="L16" s="165">
        <v>60167863</v>
      </c>
      <c r="M16" s="165">
        <v>30392052</v>
      </c>
      <c r="N16" s="165"/>
      <c r="O16" s="165">
        <v>90559915</v>
      </c>
      <c r="P16" s="170">
        <f t="shared" si="0"/>
        <v>0.66439840408419115</v>
      </c>
      <c r="Q16" s="167">
        <v>34646</v>
      </c>
      <c r="R16" s="171">
        <f>'All Data'!$O16/'All Data'!$Q16</f>
        <v>2613.8635051665415</v>
      </c>
      <c r="S16" s="165">
        <v>922653296</v>
      </c>
      <c r="T16" s="166">
        <v>116744</v>
      </c>
      <c r="U16" s="165">
        <f t="shared" si="1"/>
        <v>7903.2181182758859</v>
      </c>
      <c r="V16" s="169">
        <v>0.1356</v>
      </c>
      <c r="W16" s="168">
        <v>4.9000000000000004</v>
      </c>
      <c r="X16" s="169">
        <v>-0.23799999999999999</v>
      </c>
      <c r="Y16" s="172">
        <v>0.26319999999999999</v>
      </c>
      <c r="Z16" s="176">
        <v>0.57889999999999997</v>
      </c>
      <c r="AA16" s="173">
        <v>0.92833743666958313</v>
      </c>
      <c r="AB16" s="177">
        <v>11.71</v>
      </c>
      <c r="AC16" s="172">
        <v>0.46600000000000003</v>
      </c>
      <c r="AD16" s="176">
        <v>0.33</v>
      </c>
      <c r="AE16" s="175">
        <v>2241</v>
      </c>
      <c r="AF16" s="174">
        <v>3</v>
      </c>
      <c r="AG16" s="178">
        <v>57303</v>
      </c>
      <c r="AH16" s="178">
        <v>51386</v>
      </c>
      <c r="AI16" s="178">
        <v>-5917</v>
      </c>
      <c r="AJ16" s="179">
        <v>-0.10325811803340912</v>
      </c>
      <c r="AK16" s="178">
        <v>11110.000061035156</v>
      </c>
      <c r="AL16" s="178">
        <v>10607.666534423828</v>
      </c>
      <c r="AM16" s="178">
        <v>2847.3333511352539</v>
      </c>
      <c r="AN16" s="179">
        <v>0.38673865795135498</v>
      </c>
      <c r="AO16" s="179">
        <v>0.61238723993301392</v>
      </c>
      <c r="AP16" s="179">
        <v>0.43315380811691284</v>
      </c>
      <c r="AQ16" s="179">
        <v>0.73399999999999999</v>
      </c>
      <c r="AR16" s="179">
        <v>0.872</v>
      </c>
      <c r="AS16" s="179">
        <v>0.71299999999999997</v>
      </c>
      <c r="AT16" s="180">
        <v>0</v>
      </c>
      <c r="AU16" s="180">
        <v>714854809</v>
      </c>
      <c r="AV16" s="179">
        <v>0</v>
      </c>
      <c r="AW16" s="174" t="s">
        <v>52</v>
      </c>
      <c r="AX16" s="191" t="s">
        <v>53</v>
      </c>
      <c r="AY16" s="174"/>
      <c r="AZ16" s="174" t="s">
        <v>53</v>
      </c>
      <c r="BA16" s="174" t="s">
        <v>53</v>
      </c>
      <c r="BB16" s="174" t="s">
        <v>60</v>
      </c>
      <c r="BC16" s="174" t="s">
        <v>60</v>
      </c>
      <c r="BD16" s="174" t="s">
        <v>60</v>
      </c>
      <c r="BE16" s="174" t="s">
        <v>60</v>
      </c>
      <c r="BF16" s="23" t="s">
        <v>60</v>
      </c>
      <c r="BG16" s="49" t="s">
        <v>53</v>
      </c>
      <c r="BH16" s="49" t="s">
        <v>53</v>
      </c>
      <c r="BI16" s="49" t="s">
        <v>53</v>
      </c>
      <c r="BJ16" s="49" t="s">
        <v>53</v>
      </c>
      <c r="BK16" s="49" t="s">
        <v>53</v>
      </c>
      <c r="BL16" s="49" t="s">
        <v>810</v>
      </c>
    </row>
    <row r="17" spans="1:64" x14ac:dyDescent="0.3">
      <c r="A17" s="181" t="s">
        <v>92</v>
      </c>
      <c r="B17" s="181" t="s">
        <v>93</v>
      </c>
      <c r="C17" s="181" t="s">
        <v>311</v>
      </c>
      <c r="D17" s="181" t="s">
        <v>307</v>
      </c>
      <c r="E17" s="181">
        <v>1446</v>
      </c>
      <c r="F17" s="181">
        <v>25</v>
      </c>
      <c r="G17" s="181">
        <v>8</v>
      </c>
      <c r="H17" s="181">
        <v>45397</v>
      </c>
      <c r="I17" s="181">
        <v>8</v>
      </c>
      <c r="J17" s="181">
        <v>0</v>
      </c>
      <c r="K17" s="181">
        <v>60405</v>
      </c>
      <c r="L17" s="182">
        <v>36709446</v>
      </c>
      <c r="M17" s="182">
        <v>20000</v>
      </c>
      <c r="N17" s="182">
        <v>13403177</v>
      </c>
      <c r="O17" s="182">
        <v>50132623</v>
      </c>
      <c r="P17" s="187">
        <f t="shared" si="0"/>
        <v>0.73224666501092517</v>
      </c>
      <c r="Q17" s="184">
        <v>34170</v>
      </c>
      <c r="R17" s="188">
        <f>'All Data'!$O17/'All Data'!$Q17</f>
        <v>1467.1531460345332</v>
      </c>
      <c r="S17" s="182">
        <v>1321941220</v>
      </c>
      <c r="T17" s="183">
        <v>122736</v>
      </c>
      <c r="U17" s="182">
        <f t="shared" si="1"/>
        <v>10770.606993873029</v>
      </c>
      <c r="V17" s="186">
        <v>0.56110000000000004</v>
      </c>
      <c r="W17" s="185">
        <v>7.2</v>
      </c>
      <c r="X17" s="186">
        <v>-6.5000000000000002E-2</v>
      </c>
      <c r="Y17" s="189">
        <v>0.30959999999999999</v>
      </c>
      <c r="Z17" s="193">
        <v>0.74619999999999997</v>
      </c>
      <c r="AA17" s="190">
        <v>0.7470465721283841</v>
      </c>
      <c r="AB17" s="194">
        <v>12.39</v>
      </c>
      <c r="AC17" s="189">
        <v>0.46100000000000002</v>
      </c>
      <c r="AD17" s="193">
        <v>0.36399999999999999</v>
      </c>
      <c r="AE17" s="192">
        <v>2092</v>
      </c>
      <c r="AF17" s="191">
        <v>3.6</v>
      </c>
      <c r="AG17" s="196">
        <v>51502</v>
      </c>
      <c r="AH17" s="196">
        <v>44688</v>
      </c>
      <c r="AI17" s="196">
        <v>-6814</v>
      </c>
      <c r="AJ17" s="197">
        <v>-0.13230554759502411</v>
      </c>
      <c r="AK17" s="196">
        <v>9831.0000839233398</v>
      </c>
      <c r="AL17" s="196">
        <v>9398.6666107177734</v>
      </c>
      <c r="AM17" s="196">
        <v>3208.1666603088379</v>
      </c>
      <c r="AN17" s="197">
        <v>0.38331130146980286</v>
      </c>
      <c r="AO17" s="197">
        <v>0.59111219644546509</v>
      </c>
      <c r="AP17" s="197">
        <v>0.38614994287490845</v>
      </c>
      <c r="AQ17" s="197">
        <v>0.61599999999999999</v>
      </c>
      <c r="AR17" s="197">
        <v>0.80100000000000005</v>
      </c>
      <c r="AS17" s="197">
        <v>0.44700000000000001</v>
      </c>
      <c r="AT17" s="198">
        <v>88381019</v>
      </c>
      <c r="AU17" s="198">
        <v>1152324799</v>
      </c>
      <c r="AV17" s="197">
        <v>7.6999999999999999E-2</v>
      </c>
      <c r="AW17" s="191" t="s">
        <v>52</v>
      </c>
      <c r="AX17" s="191" t="s">
        <v>53</v>
      </c>
      <c r="AY17" s="191"/>
      <c r="AZ17" s="191" t="s">
        <v>60</v>
      </c>
      <c r="BA17" s="191" t="s">
        <v>60</v>
      </c>
      <c r="BB17" s="191" t="s">
        <v>60</v>
      </c>
      <c r="BC17" s="191" t="s">
        <v>53</v>
      </c>
      <c r="BD17" s="191" t="s">
        <v>60</v>
      </c>
      <c r="BE17" s="191" t="s">
        <v>60</v>
      </c>
      <c r="BF17" s="23" t="s">
        <v>60</v>
      </c>
      <c r="BG17" s="49" t="s">
        <v>53</v>
      </c>
      <c r="BH17" s="49" t="s">
        <v>53</v>
      </c>
      <c r="BI17" s="49" t="s">
        <v>53</v>
      </c>
      <c r="BJ17" s="49" t="s">
        <v>53</v>
      </c>
      <c r="BK17" s="49" t="s">
        <v>53</v>
      </c>
      <c r="BL17" s="49" t="s">
        <v>809</v>
      </c>
    </row>
    <row r="18" spans="1:64" x14ac:dyDescent="0.3">
      <c r="A18" s="164" t="s">
        <v>94</v>
      </c>
      <c r="B18" s="164" t="s">
        <v>95</v>
      </c>
      <c r="C18" s="164" t="s">
        <v>311</v>
      </c>
      <c r="D18" s="164" t="s">
        <v>307</v>
      </c>
      <c r="E18" s="164">
        <v>2309</v>
      </c>
      <c r="F18" s="164">
        <v>16</v>
      </c>
      <c r="G18" s="164">
        <v>2</v>
      </c>
      <c r="H18" s="164">
        <v>40272</v>
      </c>
      <c r="I18" s="164">
        <v>8</v>
      </c>
      <c r="J18" s="164">
        <v>1</v>
      </c>
      <c r="K18" s="164">
        <v>78597</v>
      </c>
      <c r="L18" s="165">
        <v>206493638</v>
      </c>
      <c r="M18" s="165">
        <v>160833506</v>
      </c>
      <c r="N18" s="165">
        <v>758298</v>
      </c>
      <c r="O18" s="165">
        <v>368085442</v>
      </c>
      <c r="P18" s="170">
        <f t="shared" si="0"/>
        <v>0.56099376513782362</v>
      </c>
      <c r="Q18" s="167">
        <v>46427</v>
      </c>
      <c r="R18" s="171">
        <f>'All Data'!$O18/'All Data'!$Q18</f>
        <v>7928.2624765761302</v>
      </c>
      <c r="S18" s="165">
        <v>1484756400</v>
      </c>
      <c r="T18" s="166">
        <v>139104</v>
      </c>
      <c r="U18" s="165">
        <f t="shared" si="1"/>
        <v>10673.714630779848</v>
      </c>
      <c r="V18" s="169">
        <v>0.38890000000000002</v>
      </c>
      <c r="W18" s="168">
        <v>5.72</v>
      </c>
      <c r="X18" s="169">
        <v>-0.311</v>
      </c>
      <c r="Y18" s="172">
        <v>0.30840000000000001</v>
      </c>
      <c r="Z18" s="176">
        <v>0.75</v>
      </c>
      <c r="AA18" s="173">
        <v>1.2430150781626939</v>
      </c>
      <c r="AB18" s="177">
        <v>10.27</v>
      </c>
      <c r="AC18" s="172">
        <v>0.38300000000000001</v>
      </c>
      <c r="AD18" s="176">
        <v>0.28499999999999998</v>
      </c>
      <c r="AE18" s="175">
        <v>2724</v>
      </c>
      <c r="AF18" s="174">
        <v>5.0999999999999996</v>
      </c>
      <c r="AG18" s="178">
        <v>44373</v>
      </c>
      <c r="AH18" s="178">
        <v>41171</v>
      </c>
      <c r="AI18" s="178">
        <v>-3202</v>
      </c>
      <c r="AJ18" s="179">
        <v>-7.2160996496677399E-2</v>
      </c>
      <c r="AK18" s="178">
        <v>8077.3333892822266</v>
      </c>
      <c r="AL18" s="178">
        <v>7336.6666870117188</v>
      </c>
      <c r="AM18" s="178">
        <v>3729.3332977294922</v>
      </c>
      <c r="AN18" s="179">
        <v>0.41750577092170715</v>
      </c>
      <c r="AO18" s="179">
        <v>0.62844163179397583</v>
      </c>
      <c r="AP18" s="179">
        <v>0.44467288255691528</v>
      </c>
      <c r="AQ18" s="179">
        <v>0.59099999999999997</v>
      </c>
      <c r="AR18" s="179">
        <v>0.78600000000000003</v>
      </c>
      <c r="AS18" s="179">
        <v>0.40799999999999997</v>
      </c>
      <c r="AT18" s="180">
        <v>825576200</v>
      </c>
      <c r="AU18" s="180">
        <v>936255700</v>
      </c>
      <c r="AV18" s="179">
        <v>0.88200000000000001</v>
      </c>
      <c r="AW18" s="174" t="s">
        <v>52</v>
      </c>
      <c r="AX18" s="191" t="s">
        <v>53</v>
      </c>
      <c r="AY18" s="174"/>
      <c r="AZ18" s="174" t="s">
        <v>60</v>
      </c>
      <c r="BA18" s="174" t="s">
        <v>60</v>
      </c>
      <c r="BB18" s="174" t="s">
        <v>60</v>
      </c>
      <c r="BC18" s="174" t="s">
        <v>60</v>
      </c>
      <c r="BD18" s="174" t="s">
        <v>60</v>
      </c>
      <c r="BE18" s="174" t="s">
        <v>60</v>
      </c>
      <c r="BF18" s="49" t="s">
        <v>53</v>
      </c>
      <c r="BG18" s="49" t="s">
        <v>53</v>
      </c>
      <c r="BH18" s="49" t="s">
        <v>53</v>
      </c>
      <c r="BI18" s="49" t="s">
        <v>53</v>
      </c>
      <c r="BJ18" s="49" t="s">
        <v>53</v>
      </c>
      <c r="BK18" s="49" t="s">
        <v>53</v>
      </c>
    </row>
    <row r="19" spans="1:64" x14ac:dyDescent="0.3">
      <c r="A19" s="181" t="s">
        <v>96</v>
      </c>
      <c r="B19" s="181" t="s">
        <v>97</v>
      </c>
      <c r="C19" s="181" t="s">
        <v>307</v>
      </c>
      <c r="D19" s="181" t="s">
        <v>307</v>
      </c>
      <c r="E19" s="181">
        <v>2358</v>
      </c>
      <c r="F19" s="181">
        <v>14</v>
      </c>
      <c r="G19" s="181">
        <v>11</v>
      </c>
      <c r="H19" s="181">
        <v>39129</v>
      </c>
      <c r="I19" s="181">
        <v>17</v>
      </c>
      <c r="J19" s="181">
        <v>5</v>
      </c>
      <c r="K19" s="181">
        <v>99975</v>
      </c>
      <c r="L19" s="182">
        <v>55349648</v>
      </c>
      <c r="M19" s="182">
        <v>289764131</v>
      </c>
      <c r="N19" s="182">
        <v>672000</v>
      </c>
      <c r="O19" s="182">
        <v>345785779</v>
      </c>
      <c r="P19" s="187">
        <f t="shared" si="0"/>
        <v>0.16006918549417845</v>
      </c>
      <c r="Q19" s="184">
        <v>41455</v>
      </c>
      <c r="R19" s="188">
        <f>'All Data'!$O19/'All Data'!$Q19</f>
        <v>8341.2321553491729</v>
      </c>
      <c r="S19" s="182">
        <v>1472122361</v>
      </c>
      <c r="T19" s="183">
        <v>164604</v>
      </c>
      <c r="U19" s="182">
        <f t="shared" si="1"/>
        <v>8943.4179060047136</v>
      </c>
      <c r="V19" s="186">
        <v>0.37740000000000001</v>
      </c>
      <c r="W19" s="185">
        <v>5.48</v>
      </c>
      <c r="X19" s="186">
        <v>-0.215</v>
      </c>
      <c r="Y19" s="189">
        <v>0.41239999999999999</v>
      </c>
      <c r="Z19" s="193">
        <v>0.79269999999999996</v>
      </c>
      <c r="AA19" s="190">
        <v>1.1111337296094237</v>
      </c>
      <c r="AB19" s="194">
        <v>9</v>
      </c>
      <c r="AC19" s="189">
        <v>0.35199999999999998</v>
      </c>
      <c r="AD19" s="193">
        <v>0.27200000000000002</v>
      </c>
      <c r="AE19" s="192">
        <v>2301</v>
      </c>
      <c r="AF19" s="191">
        <v>4.4000000000000004</v>
      </c>
      <c r="AG19" s="196">
        <v>43102</v>
      </c>
      <c r="AH19" s="196">
        <v>39189</v>
      </c>
      <c r="AI19" s="196">
        <v>-3913</v>
      </c>
      <c r="AJ19" s="197">
        <v>-9.0784654021263123E-2</v>
      </c>
      <c r="AK19" s="196">
        <v>8069.6665802001953</v>
      </c>
      <c r="AL19" s="196">
        <v>7378.0000228881836</v>
      </c>
      <c r="AM19" s="196">
        <v>3200.6666374206543</v>
      </c>
      <c r="AN19" s="197">
        <v>0.25734230875968933</v>
      </c>
      <c r="AO19" s="197">
        <v>0.53740853071212769</v>
      </c>
      <c r="AP19" s="197">
        <v>0.3154551088809967</v>
      </c>
      <c r="AQ19" s="197">
        <v>0.52200000000000002</v>
      </c>
      <c r="AR19" s="197">
        <v>0.746</v>
      </c>
      <c r="AS19" s="197">
        <v>0.47499999999999998</v>
      </c>
      <c r="AT19" s="198">
        <v>585151955</v>
      </c>
      <c r="AU19" s="198">
        <v>976874400</v>
      </c>
      <c r="AV19" s="197">
        <v>0.59899999999999998</v>
      </c>
      <c r="AW19" s="191" t="s">
        <v>52</v>
      </c>
      <c r="AX19" s="191" t="s">
        <v>53</v>
      </c>
      <c r="AY19" s="191"/>
      <c r="AZ19" s="191" t="s">
        <v>60</v>
      </c>
      <c r="BA19" s="191" t="s">
        <v>60</v>
      </c>
      <c r="BB19" s="191" t="s">
        <v>60</v>
      </c>
      <c r="BC19" s="191" t="s">
        <v>53</v>
      </c>
      <c r="BD19" s="191" t="s">
        <v>60</v>
      </c>
      <c r="BE19" s="191" t="s">
        <v>60</v>
      </c>
      <c r="BF19" s="49" t="s">
        <v>53</v>
      </c>
      <c r="BG19" s="23" t="s">
        <v>60</v>
      </c>
      <c r="BH19" s="49" t="s">
        <v>53</v>
      </c>
      <c r="BI19" s="49" t="s">
        <v>53</v>
      </c>
      <c r="BJ19" s="49" t="s">
        <v>53</v>
      </c>
      <c r="BK19" s="49" t="s">
        <v>53</v>
      </c>
      <c r="BL19" s="49" t="s">
        <v>811</v>
      </c>
    </row>
    <row r="20" spans="1:64" x14ac:dyDescent="0.3">
      <c r="A20" s="164" t="s">
        <v>98</v>
      </c>
      <c r="B20" s="164" t="s">
        <v>99</v>
      </c>
      <c r="C20" s="164" t="s">
        <v>311</v>
      </c>
      <c r="D20" s="164" t="s">
        <v>311</v>
      </c>
      <c r="E20" s="164">
        <v>715</v>
      </c>
      <c r="F20" s="164">
        <v>7</v>
      </c>
      <c r="G20" s="164">
        <v>5</v>
      </c>
      <c r="H20" s="164">
        <v>8979</v>
      </c>
      <c r="I20" s="164">
        <v>7</v>
      </c>
      <c r="J20" s="164">
        <v>2</v>
      </c>
      <c r="K20" s="164">
        <v>19909</v>
      </c>
      <c r="L20" s="165">
        <v>26103521</v>
      </c>
      <c r="M20" s="165">
        <v>737500</v>
      </c>
      <c r="N20" s="165">
        <v>1773575</v>
      </c>
      <c r="O20" s="165">
        <v>28614596</v>
      </c>
      <c r="P20" s="170">
        <f t="shared" si="0"/>
        <v>0.91224496057885984</v>
      </c>
      <c r="Q20" s="167">
        <v>12671</v>
      </c>
      <c r="R20" s="171">
        <f>'All Data'!$O20/'All Data'!$Q20</f>
        <v>2258.2744850445902</v>
      </c>
      <c r="S20" s="165">
        <v>377561109</v>
      </c>
      <c r="T20" s="166">
        <v>32293</v>
      </c>
      <c r="U20" s="165">
        <f t="shared" si="1"/>
        <v>11691.73223299167</v>
      </c>
      <c r="V20" s="169">
        <v>0.57299999999999995</v>
      </c>
      <c r="W20" s="168">
        <v>4.22</v>
      </c>
      <c r="X20" s="169">
        <v>-0.18099999999999999</v>
      </c>
      <c r="Y20" s="172">
        <v>0.34399999999999997</v>
      </c>
      <c r="Z20" s="176">
        <v>0.57150000000000001</v>
      </c>
      <c r="AA20" s="173">
        <v>0.88114845813006315</v>
      </c>
      <c r="AB20" s="177">
        <v>10.01</v>
      </c>
      <c r="AC20" s="172">
        <v>0.46800000000000003</v>
      </c>
      <c r="AD20" s="176">
        <v>0.35399999999999998</v>
      </c>
      <c r="AE20" s="175">
        <v>1807</v>
      </c>
      <c r="AF20" s="174">
        <v>3.1</v>
      </c>
      <c r="AG20" s="178">
        <v>9771</v>
      </c>
      <c r="AH20" s="178">
        <v>9842</v>
      </c>
      <c r="AI20" s="178">
        <v>71</v>
      </c>
      <c r="AJ20" s="179">
        <v>7.2664003819227219E-3</v>
      </c>
      <c r="AK20" s="178">
        <v>2170.3333282470703</v>
      </c>
      <c r="AL20" s="178">
        <v>1966.3333129882813</v>
      </c>
      <c r="AM20" s="178">
        <v>950.00000762939453</v>
      </c>
      <c r="AN20" s="179">
        <v>0.26892951130867004</v>
      </c>
      <c r="AO20" s="179">
        <v>0.55127990245819092</v>
      </c>
      <c r="AP20" s="179">
        <v>0.43228068947792053</v>
      </c>
      <c r="AQ20" s="179">
        <v>0.51100000000000001</v>
      </c>
      <c r="AR20" s="179">
        <v>0.72799999999999998</v>
      </c>
      <c r="AS20" s="179">
        <v>0.40899999999999997</v>
      </c>
      <c r="AT20" s="180">
        <v>0</v>
      </c>
      <c r="AU20" s="180">
        <v>310013508</v>
      </c>
      <c r="AV20" s="179">
        <v>0</v>
      </c>
      <c r="AW20" s="174" t="s">
        <v>52</v>
      </c>
      <c r="AX20" s="191" t="s">
        <v>53</v>
      </c>
      <c r="AY20" s="174"/>
      <c r="AZ20" s="174" t="s">
        <v>53</v>
      </c>
      <c r="BA20" s="174" t="s">
        <v>53</v>
      </c>
      <c r="BB20" s="174" t="s">
        <v>60</v>
      </c>
      <c r="BC20" s="174" t="s">
        <v>60</v>
      </c>
      <c r="BD20" s="174" t="s">
        <v>53</v>
      </c>
      <c r="BE20" s="174" t="s">
        <v>60</v>
      </c>
      <c r="BF20" s="49" t="s">
        <v>53</v>
      </c>
      <c r="BG20" s="49" t="s">
        <v>53</v>
      </c>
      <c r="BH20" s="49" t="s">
        <v>53</v>
      </c>
      <c r="BI20" s="49" t="s">
        <v>53</v>
      </c>
      <c r="BJ20" s="49" t="s">
        <v>53</v>
      </c>
      <c r="BK20" s="49" t="s">
        <v>53</v>
      </c>
    </row>
    <row r="21" spans="1:64" ht="26" x14ac:dyDescent="0.3">
      <c r="A21" s="181" t="s">
        <v>100</v>
      </c>
      <c r="B21" s="181" t="s">
        <v>101</v>
      </c>
      <c r="C21" s="181" t="s">
        <v>311</v>
      </c>
      <c r="D21" s="181" t="s">
        <v>311</v>
      </c>
      <c r="E21" s="181">
        <v>3270</v>
      </c>
      <c r="F21" s="181">
        <v>16</v>
      </c>
      <c r="G21" s="181">
        <v>14</v>
      </c>
      <c r="H21" s="181">
        <v>61304</v>
      </c>
      <c r="I21" s="181">
        <v>14</v>
      </c>
      <c r="J21" s="181">
        <v>2</v>
      </c>
      <c r="K21" s="181">
        <v>116574</v>
      </c>
      <c r="L21" s="182">
        <v>126752379</v>
      </c>
      <c r="M21" s="182">
        <v>5160438</v>
      </c>
      <c r="N21" s="182">
        <v>508173</v>
      </c>
      <c r="O21" s="182">
        <v>132420990</v>
      </c>
      <c r="P21" s="187">
        <f t="shared" si="0"/>
        <v>0.95719250399804445</v>
      </c>
      <c r="Q21" s="184">
        <v>60273</v>
      </c>
      <c r="R21" s="188">
        <f>'All Data'!$O21/'All Data'!$Q21</f>
        <v>2197.0200587327658</v>
      </c>
      <c r="S21" s="182">
        <v>3432325329</v>
      </c>
      <c r="T21" s="183">
        <v>218034</v>
      </c>
      <c r="U21" s="182">
        <f t="shared" si="1"/>
        <v>15742.156402212499</v>
      </c>
      <c r="V21" s="186">
        <v>0.80389999999999995</v>
      </c>
      <c r="W21" s="185">
        <v>6.77</v>
      </c>
      <c r="X21" s="186">
        <v>6.6000000000000003E-2</v>
      </c>
      <c r="Y21" s="189">
        <v>0.28420000000000001</v>
      </c>
      <c r="Z21" s="193">
        <v>0.872</v>
      </c>
      <c r="AA21" s="190">
        <v>0.8227280929529821</v>
      </c>
      <c r="AB21" s="194">
        <v>18.61</v>
      </c>
      <c r="AC21" s="189">
        <v>0.51500000000000001</v>
      </c>
      <c r="AD21" s="193">
        <v>0.44400000000000001</v>
      </c>
      <c r="AE21" s="192">
        <v>1820</v>
      </c>
      <c r="AF21" s="191">
        <v>3</v>
      </c>
      <c r="AG21" s="196">
        <v>70820</v>
      </c>
      <c r="AH21" s="196">
        <v>58799</v>
      </c>
      <c r="AI21" s="196">
        <v>-12021</v>
      </c>
      <c r="AJ21" s="197">
        <v>-0.16974018514156342</v>
      </c>
      <c r="AK21" s="196">
        <v>11831.999984741211</v>
      </c>
      <c r="AL21" s="196">
        <v>10913.33332824707</v>
      </c>
      <c r="AM21" s="196">
        <v>7497.9999876022339</v>
      </c>
      <c r="AN21" s="197">
        <v>0.2610434889793396</v>
      </c>
      <c r="AO21" s="197">
        <v>0.62669515609741211</v>
      </c>
      <c r="AP21" s="197">
        <v>0.43740552663803101</v>
      </c>
      <c r="AQ21" s="197">
        <v>0.68899999999999995</v>
      </c>
      <c r="AR21" s="197">
        <v>0.85199999999999998</v>
      </c>
      <c r="AS21" s="197">
        <v>0.36099999999999999</v>
      </c>
      <c r="AT21" s="198">
        <v>0</v>
      </c>
      <c r="AU21" s="198">
        <v>3091809289</v>
      </c>
      <c r="AV21" s="197">
        <v>0</v>
      </c>
      <c r="AW21" s="191" t="s">
        <v>828</v>
      </c>
      <c r="AX21" s="174" t="s">
        <v>60</v>
      </c>
      <c r="AY21" s="191" t="s">
        <v>103</v>
      </c>
      <c r="AZ21" s="191" t="s">
        <v>53</v>
      </c>
      <c r="BA21" s="191" t="s">
        <v>53</v>
      </c>
      <c r="BB21" s="191" t="s">
        <v>60</v>
      </c>
      <c r="BC21" s="191" t="s">
        <v>60</v>
      </c>
      <c r="BD21" s="191" t="s">
        <v>53</v>
      </c>
      <c r="BE21" s="191" t="s">
        <v>60</v>
      </c>
      <c r="BF21" s="49" t="s">
        <v>53</v>
      </c>
      <c r="BG21" s="23" t="s">
        <v>60</v>
      </c>
      <c r="BH21" s="49" t="s">
        <v>53</v>
      </c>
      <c r="BI21" s="49" t="s">
        <v>53</v>
      </c>
      <c r="BJ21" s="49" t="s">
        <v>53</v>
      </c>
      <c r="BK21" s="49" t="s">
        <v>53</v>
      </c>
      <c r="BL21" s="49" t="s">
        <v>809</v>
      </c>
    </row>
    <row r="22" spans="1:64" ht="26" x14ac:dyDescent="0.3">
      <c r="A22" s="164" t="s">
        <v>104</v>
      </c>
      <c r="B22" s="164" t="s">
        <v>105</v>
      </c>
      <c r="C22" s="164" t="s">
        <v>311</v>
      </c>
      <c r="D22" s="164" t="s">
        <v>311</v>
      </c>
      <c r="E22" s="164">
        <v>3724</v>
      </c>
      <c r="F22" s="164">
        <v>16</v>
      </c>
      <c r="G22" s="164">
        <v>16</v>
      </c>
      <c r="H22" s="164">
        <v>40975</v>
      </c>
      <c r="I22" s="164">
        <v>13</v>
      </c>
      <c r="J22" s="164">
        <v>0</v>
      </c>
      <c r="K22" s="164">
        <v>83638</v>
      </c>
      <c r="L22" s="165">
        <v>165349424</v>
      </c>
      <c r="M22" s="165">
        <v>4199203</v>
      </c>
      <c r="N22" s="165">
        <v>41424904</v>
      </c>
      <c r="O22" s="165">
        <v>210973531</v>
      </c>
      <c r="P22" s="170">
        <f t="shared" si="0"/>
        <v>0.78374487650775493</v>
      </c>
      <c r="Q22" s="167">
        <v>66860</v>
      </c>
      <c r="R22" s="171">
        <f>'All Data'!$O22/'All Data'!$Q22</f>
        <v>3155.4521537541132</v>
      </c>
      <c r="S22" s="165">
        <v>2186641057</v>
      </c>
      <c r="T22" s="166">
        <v>140348</v>
      </c>
      <c r="U22" s="165">
        <f t="shared" si="1"/>
        <v>15580.136923931941</v>
      </c>
      <c r="V22" s="169">
        <v>1.0161</v>
      </c>
      <c r="W22" s="168">
        <v>3.27</v>
      </c>
      <c r="X22" s="169">
        <v>-5.0000000000000001E-3</v>
      </c>
      <c r="Y22" s="172">
        <v>0.2636</v>
      </c>
      <c r="Z22" s="176">
        <v>0.89549999999999996</v>
      </c>
      <c r="AA22" s="173">
        <v>0.23360301503624742</v>
      </c>
      <c r="AB22" s="177">
        <v>6.89</v>
      </c>
      <c r="AC22" s="172">
        <v>0.56899999999999995</v>
      </c>
      <c r="AD22" s="176">
        <v>0.49399999999999999</v>
      </c>
      <c r="AE22" s="175">
        <v>1805</v>
      </c>
      <c r="AF22" s="174">
        <v>4</v>
      </c>
      <c r="AG22" s="178">
        <v>52538</v>
      </c>
      <c r="AH22" s="178">
        <v>38717</v>
      </c>
      <c r="AI22" s="178">
        <v>-13821</v>
      </c>
      <c r="AJ22" s="179">
        <v>-0.26306673884391785</v>
      </c>
      <c r="AK22" s="178">
        <v>8349.6666870117188</v>
      </c>
      <c r="AL22" s="178">
        <v>7336.0000839233398</v>
      </c>
      <c r="AM22" s="178">
        <v>5439.3333511352539</v>
      </c>
      <c r="AN22" s="179">
        <v>0.20336140692234039</v>
      </c>
      <c r="AO22" s="179">
        <v>0.56992912292480469</v>
      </c>
      <c r="AP22" s="179">
        <v>0.42468440532684326</v>
      </c>
      <c r="AQ22" s="179">
        <v>0.65400000000000003</v>
      </c>
      <c r="AR22" s="179">
        <v>0.80100000000000005</v>
      </c>
      <c r="AS22" s="179">
        <v>0.45800000000000002</v>
      </c>
      <c r="AT22" s="180">
        <v>19898556</v>
      </c>
      <c r="AU22" s="180">
        <v>2153439260</v>
      </c>
      <c r="AV22" s="179">
        <v>8.9999999999999993E-3</v>
      </c>
      <c r="AW22" s="174" t="s">
        <v>52</v>
      </c>
      <c r="AX22" s="174" t="s">
        <v>60</v>
      </c>
      <c r="AY22" s="174" t="s">
        <v>106</v>
      </c>
      <c r="AZ22" s="174" t="s">
        <v>60</v>
      </c>
      <c r="BA22" s="174" t="s">
        <v>60</v>
      </c>
      <c r="BB22" s="174" t="s">
        <v>60</v>
      </c>
      <c r="BC22" s="174" t="s">
        <v>60</v>
      </c>
      <c r="BD22" s="174" t="s">
        <v>60</v>
      </c>
      <c r="BE22" s="174" t="s">
        <v>60</v>
      </c>
      <c r="BF22" s="49" t="s">
        <v>53</v>
      </c>
      <c r="BG22" s="49" t="s">
        <v>53</v>
      </c>
      <c r="BH22" s="49" t="s">
        <v>53</v>
      </c>
      <c r="BI22" s="49" t="s">
        <v>53</v>
      </c>
      <c r="BJ22" s="49" t="s">
        <v>53</v>
      </c>
      <c r="BK22" s="49" t="s">
        <v>53</v>
      </c>
    </row>
    <row r="23" spans="1:64" x14ac:dyDescent="0.3">
      <c r="A23" s="49" t="s">
        <v>177</v>
      </c>
      <c r="E23" s="150">
        <f ca="1">AVERAGE('All Data'!$E$2:$E$51)</f>
        <v>3438.96</v>
      </c>
      <c r="F23" s="150">
        <f ca="1">AVERAGE('All Data'!$F$2:$F$51)</f>
        <v>19.600000000000001</v>
      </c>
      <c r="G23" s="150">
        <f ca="1">AVERAGE('All Data'!$G$2:$G$51)</f>
        <v>10.44</v>
      </c>
      <c r="H23" s="150">
        <f ca="1">AVERAGE('All Data'!$H$2:$H$51)</f>
        <v>78065.959183673476</v>
      </c>
      <c r="I23" s="150">
        <f ca="1">AVERAGE('All Data'!$I$2:$I$51)</f>
        <v>12.16</v>
      </c>
      <c r="J23" s="150">
        <f ca="1">AVERAGE('All Data'!$J$2:$J$51)</f>
        <v>1.76</v>
      </c>
      <c r="K23" s="150">
        <f ca="1">AVERAGE('All Data'!$K$2:$K$51)</f>
        <v>109743.02</v>
      </c>
      <c r="L23" s="55">
        <f ca="1">AVERAGE('All Data'!$L$2:$L$51)</f>
        <v>211260910.03999999</v>
      </c>
      <c r="M23" s="55">
        <f ca="1">AVERAGE('All Data'!$M$2:$M$51)</f>
        <v>85184775.681818187</v>
      </c>
      <c r="N23" s="55">
        <f ca="1">AVERAGE('All Data'!$N$2:$N$51)</f>
        <v>32186802.547619049</v>
      </c>
      <c r="O23" s="55">
        <f ca="1">AVERAGE('All Data'!$O$2:$O$51)</f>
        <v>313260426.77999997</v>
      </c>
      <c r="P23" s="149">
        <f ca="1">AVERAGE('All Data'!$P$2:$P$51)</f>
        <v>0.62825954093815806</v>
      </c>
      <c r="Q23" s="151">
        <f ca="1">AVERAGE('All Data'!$Q$2:$Q$51)</f>
        <v>68430.600000000006</v>
      </c>
      <c r="R23" s="55">
        <f ca="1">AVERAGE('All Data'!$R$2:$R$51)</f>
        <v>4001.4371843647536</v>
      </c>
      <c r="S23" s="55">
        <f ca="1">AVERAGE('All Data'!$S$2:$S$51)</f>
        <v>2562060512.8400002</v>
      </c>
      <c r="T23" s="151">
        <f ca="1">AVERAGE('All Data'!$T$2:$T$51)</f>
        <v>207830.39999999999</v>
      </c>
      <c r="U23" s="55">
        <f ca="1">AVERAGE('All Data'!$U$2:$U$51)</f>
        <v>12157.975027553497</v>
      </c>
      <c r="V23" s="149">
        <f ca="1">AVERAGE('All Data'!$V$2:$V$51)</f>
        <v>0.56427399999999983</v>
      </c>
      <c r="W23" s="60">
        <f ca="1">AVERAGE('All Data'!$W$2:$W$51)</f>
        <v>5.6710000000000012</v>
      </c>
      <c r="X23" s="149">
        <f ca="1">AVERAGE('All Data'!$X$2:$X$51)</f>
        <v>-0.12479999999999998</v>
      </c>
      <c r="Y23" s="149">
        <f ca="1">AVERAGE('All Data'!$Y$2:$Y$51)</f>
        <v>0.298404</v>
      </c>
      <c r="Z23" s="156">
        <f ca="1">AVERAGE('All Data'!$Z$2:$Z$51)</f>
        <v>0.73120200000000002</v>
      </c>
      <c r="AA23" s="150">
        <f ca="1">AVERAGE('All Data'!$AA$2:$AA$51)</f>
        <v>0.89917307289858261</v>
      </c>
      <c r="AB23" s="150">
        <f ca="1">AVERAGE('All Data'!$AB$2:$AB$51)</f>
        <v>12.885799999999994</v>
      </c>
      <c r="AC23" s="149">
        <f ca="1">AVERAGE('All Data'!$AC$2:$AC$51)</f>
        <v>0.45114000000000026</v>
      </c>
      <c r="AD23" s="156">
        <f ca="1">AVERAGE('All Data'!$AD$2:$AD$51)</f>
        <v>0.35231999999999991</v>
      </c>
      <c r="AE23" s="150">
        <f ca="1">AVERAGE('All Data'!$AE$2:$AE$51)</f>
        <v>2216.48</v>
      </c>
      <c r="AF23" s="150">
        <f ca="1">AVERAGE('All Data'!$AF$2:$AF$51)</f>
        <v>3.6819999999999999</v>
      </c>
      <c r="AG23" s="151">
        <f ca="1">AVERAGE('All Data'!$AG$2:$AG$51)</f>
        <v>88710.306122448979</v>
      </c>
      <c r="AH23" s="151">
        <f ca="1">AVERAGE('All Data'!$AH$2:$AH$51)</f>
        <v>76457.795918367352</v>
      </c>
      <c r="AI23" s="151">
        <f ca="1">AVERAGE('All Data'!$AI$2:$AI$51)</f>
        <v>-12252.510204081633</v>
      </c>
      <c r="AJ23" s="149">
        <f ca="1">AVERAGE('All Data'!$AJ$2:$AJ$51)</f>
        <v>-0.11426797977680828</v>
      </c>
      <c r="AK23" s="151">
        <f ca="1">AVERAGE('All Data'!$AK$2:$AK$51)</f>
        <v>13364.806135664181</v>
      </c>
      <c r="AL23" s="151">
        <f ca="1">AVERAGE('All Data'!$AL$2:$AL$51)</f>
        <v>10513.586803677181</v>
      </c>
      <c r="AM23" s="151">
        <f ca="1">AVERAGE('All Data'!$AM$2:$AM$51)</f>
        <v>6198.9166536082821</v>
      </c>
      <c r="AN23" s="149">
        <f ca="1">AVERAGE('All Data'!$AN$2:$AN$51)</f>
        <v>0.31177431770733427</v>
      </c>
      <c r="AO23" s="149">
        <f ca="1">AVERAGE('All Data'!$AO$2:$AO$51)</f>
        <v>0.59525494525829947</v>
      </c>
      <c r="AP23" s="149">
        <f ca="1">AVERAGE('All Data'!$AP$2:$AP$51)</f>
        <v>0.41565258490542573</v>
      </c>
      <c r="AQ23" s="149">
        <f ca="1">AVERAGE('All Data'!$AQ$2:$AQ$51)</f>
        <v>0.61516000000000004</v>
      </c>
      <c r="AR23" s="149">
        <f ca="1">AVERAGE('All Data'!$AR$2:$AR$51)</f>
        <v>0.79990000000000006</v>
      </c>
      <c r="AS23" s="149">
        <f ca="1">AVERAGE('All Data'!$AS$2:$AS$51)</f>
        <v>0.4692599999999999</v>
      </c>
      <c r="AT23" s="159">
        <f ca="1">AVERAGE('All Data'!$AT$2:$AT$51)</f>
        <v>195760209.74000001</v>
      </c>
      <c r="AU23" s="159">
        <f ca="1">AVERAGE('All Data'!$AU$2:$AU$51)</f>
        <v>2177519875.8200002</v>
      </c>
      <c r="AV23" s="149">
        <f ca="1">AVERAGE('All Data'!$AV$2:$AV$51)</f>
        <v>0.11872000000000002</v>
      </c>
    </row>
    <row r="24" spans="1:64" ht="26" x14ac:dyDescent="0.3">
      <c r="A24" s="181" t="s">
        <v>107</v>
      </c>
      <c r="B24" s="181" t="s">
        <v>108</v>
      </c>
      <c r="C24" s="181" t="s">
        <v>311</v>
      </c>
      <c r="D24" s="181" t="s">
        <v>324</v>
      </c>
      <c r="E24" s="181">
        <v>5145</v>
      </c>
      <c r="F24" s="181">
        <v>30</v>
      </c>
      <c r="G24" s="181">
        <v>24</v>
      </c>
      <c r="H24" s="181">
        <v>98473</v>
      </c>
      <c r="I24" s="181">
        <v>16</v>
      </c>
      <c r="J24" s="181">
        <v>0</v>
      </c>
      <c r="K24" s="181">
        <v>185519</v>
      </c>
      <c r="L24" s="182">
        <v>128123925</v>
      </c>
      <c r="M24" s="182">
        <v>8101138</v>
      </c>
      <c r="N24" s="182">
        <v>25393163</v>
      </c>
      <c r="O24" s="182">
        <v>161618226</v>
      </c>
      <c r="P24" s="187">
        <f t="shared" ref="P24:P41" si="2">L24/O24</f>
        <v>0.79275665975940113</v>
      </c>
      <c r="Q24" s="184">
        <v>99036</v>
      </c>
      <c r="R24" s="188">
        <f ca="1">'All Data'!$O23/'All Data'!$Q23</f>
        <v>1631.9139100932994</v>
      </c>
      <c r="S24" s="182">
        <v>2993247661</v>
      </c>
      <c r="T24" s="183">
        <v>330986</v>
      </c>
      <c r="U24" s="182">
        <f t="shared" ref="U24:U43" si="3">S24/T24</f>
        <v>9043.4267944867752</v>
      </c>
      <c r="V24" s="186">
        <v>0.67689999999999995</v>
      </c>
      <c r="W24" s="185">
        <v>5.53</v>
      </c>
      <c r="X24" s="186">
        <v>8.0000000000000002E-3</v>
      </c>
      <c r="Y24" s="189">
        <v>0.33550000000000002</v>
      </c>
      <c r="Z24" s="193">
        <v>0.875</v>
      </c>
      <c r="AA24" s="190">
        <v>1.1757935780681263</v>
      </c>
      <c r="AB24" s="194">
        <v>13.28</v>
      </c>
      <c r="AC24" s="189">
        <v>0.435</v>
      </c>
      <c r="AD24" s="193">
        <v>0.33300000000000002</v>
      </c>
      <c r="AE24" s="192">
        <v>2476</v>
      </c>
      <c r="AF24" s="191">
        <v>4.7</v>
      </c>
      <c r="AG24" s="196">
        <v>113587</v>
      </c>
      <c r="AH24" s="196">
        <v>96275</v>
      </c>
      <c r="AI24" s="196">
        <v>-17312</v>
      </c>
      <c r="AJ24" s="197">
        <v>-0.1524118036031723</v>
      </c>
      <c r="AK24" s="196">
        <v>15129.999944210052</v>
      </c>
      <c r="AL24" s="196">
        <v>11832.333337306976</v>
      </c>
      <c r="AM24" s="196">
        <v>10924.166639328003</v>
      </c>
      <c r="AN24" s="197">
        <v>0.19293896853923798</v>
      </c>
      <c r="AO24" s="197">
        <v>0.61050230264663696</v>
      </c>
      <c r="AP24" s="197">
        <v>0.45805171132087708</v>
      </c>
      <c r="AQ24" s="197">
        <v>0.68600000000000005</v>
      </c>
      <c r="AR24" s="197">
        <v>0.84399999999999997</v>
      </c>
      <c r="AS24" s="197">
        <v>0.54300000000000004</v>
      </c>
      <c r="AT24" s="198">
        <v>11894300</v>
      </c>
      <c r="AU24" s="198">
        <v>3100939801</v>
      </c>
      <c r="AV24" s="197">
        <v>4.0000000000000001E-3</v>
      </c>
      <c r="AW24" s="191" t="s">
        <v>69</v>
      </c>
      <c r="AX24" s="174" t="s">
        <v>60</v>
      </c>
      <c r="AY24" s="191" t="s">
        <v>109</v>
      </c>
      <c r="AZ24" s="191" t="s">
        <v>60</v>
      </c>
      <c r="BA24" s="191" t="s">
        <v>53</v>
      </c>
      <c r="BB24" s="191" t="s">
        <v>60</v>
      </c>
      <c r="BC24" s="191" t="s">
        <v>60</v>
      </c>
      <c r="BD24" s="191" t="s">
        <v>53</v>
      </c>
      <c r="BE24" s="191" t="s">
        <v>53</v>
      </c>
      <c r="BF24" s="23" t="s">
        <v>60</v>
      </c>
      <c r="BG24" s="49" t="s">
        <v>53</v>
      </c>
      <c r="BH24" s="49" t="s">
        <v>53</v>
      </c>
      <c r="BI24" s="49" t="s">
        <v>53</v>
      </c>
      <c r="BJ24" s="49" t="s">
        <v>53</v>
      </c>
      <c r="BK24" s="49" t="s">
        <v>53</v>
      </c>
      <c r="BL24" s="49" t="s">
        <v>809</v>
      </c>
    </row>
    <row r="25" spans="1:64" x14ac:dyDescent="0.3">
      <c r="A25" s="164" t="s">
        <v>110</v>
      </c>
      <c r="B25" s="164" t="s">
        <v>111</v>
      </c>
      <c r="C25" s="164" t="s">
        <v>311</v>
      </c>
      <c r="D25" s="164" t="s">
        <v>324</v>
      </c>
      <c r="E25" s="164">
        <v>2937</v>
      </c>
      <c r="F25" s="164">
        <v>27</v>
      </c>
      <c r="G25" s="164">
        <v>13</v>
      </c>
      <c r="H25" s="164">
        <v>64844</v>
      </c>
      <c r="I25" s="164">
        <v>13</v>
      </c>
      <c r="J25" s="164">
        <v>1</v>
      </c>
      <c r="K25" s="164">
        <v>83308</v>
      </c>
      <c r="L25" s="165">
        <v>227302459</v>
      </c>
      <c r="M25" s="165">
        <v>45911</v>
      </c>
      <c r="N25" s="165">
        <v>69040203</v>
      </c>
      <c r="O25" s="165">
        <v>296388573</v>
      </c>
      <c r="P25" s="170">
        <f t="shared" si="2"/>
        <v>0.76690695831920619</v>
      </c>
      <c r="Q25" s="167">
        <v>62224</v>
      </c>
      <c r="R25" s="171">
        <f>'All Data'!$O24/'All Data'!$Q24</f>
        <v>1631.9139100932994</v>
      </c>
      <c r="S25" s="165">
        <v>1762275777</v>
      </c>
      <c r="T25" s="166">
        <v>163409</v>
      </c>
      <c r="U25" s="165">
        <f t="shared" si="3"/>
        <v>10784.447472293448</v>
      </c>
      <c r="V25" s="169">
        <v>0.61240000000000006</v>
      </c>
      <c r="W25" s="168">
        <v>4.63</v>
      </c>
      <c r="X25" s="169">
        <v>-0.13200000000000001</v>
      </c>
      <c r="Y25" s="172">
        <v>0.28749999999999998</v>
      </c>
      <c r="Z25" s="176">
        <v>0.71809999999999996</v>
      </c>
      <c r="AA25" s="173">
        <v>0.99763393916612098</v>
      </c>
      <c r="AB25" s="177">
        <v>16.760000000000002</v>
      </c>
      <c r="AC25" s="172">
        <v>0.54</v>
      </c>
      <c r="AD25" s="176">
        <v>0.41299999999999998</v>
      </c>
      <c r="AE25" s="175">
        <v>2261</v>
      </c>
      <c r="AF25" s="174">
        <v>3</v>
      </c>
      <c r="AG25" s="178">
        <v>72939</v>
      </c>
      <c r="AH25" s="178">
        <v>63446</v>
      </c>
      <c r="AI25" s="178">
        <v>-9493</v>
      </c>
      <c r="AJ25" s="179">
        <v>-0.13014985620975494</v>
      </c>
      <c r="AK25" s="178">
        <v>10361.333358764648</v>
      </c>
      <c r="AL25" s="178">
        <v>9534.6665859222412</v>
      </c>
      <c r="AM25" s="178">
        <v>4978.0000162124634</v>
      </c>
      <c r="AN25" s="179">
        <v>0.33499550819396973</v>
      </c>
      <c r="AO25" s="179">
        <v>0.58974272012710571</v>
      </c>
      <c r="AP25" s="179">
        <v>0.4587518572807312</v>
      </c>
      <c r="AQ25" s="179">
        <v>0.65400000000000003</v>
      </c>
      <c r="AR25" s="179">
        <v>0.81200000000000006</v>
      </c>
      <c r="AS25" s="179">
        <v>0.504</v>
      </c>
      <c r="AT25" s="180">
        <v>0</v>
      </c>
      <c r="AU25" s="180">
        <v>1599993280</v>
      </c>
      <c r="AV25" s="179">
        <v>0</v>
      </c>
      <c r="AW25" s="174" t="s">
        <v>52</v>
      </c>
      <c r="AX25" s="191" t="s">
        <v>53</v>
      </c>
      <c r="AY25" s="174"/>
      <c r="AZ25" s="174" t="s">
        <v>53</v>
      </c>
      <c r="BA25" s="174" t="s">
        <v>53</v>
      </c>
      <c r="BB25" s="174" t="s">
        <v>60</v>
      </c>
      <c r="BC25" s="174" t="s">
        <v>60</v>
      </c>
      <c r="BD25" s="174" t="s">
        <v>60</v>
      </c>
      <c r="BE25" s="174" t="s">
        <v>53</v>
      </c>
      <c r="BF25" s="49" t="s">
        <v>53</v>
      </c>
      <c r="BG25" s="23" t="s">
        <v>60</v>
      </c>
      <c r="BH25" s="49" t="s">
        <v>53</v>
      </c>
      <c r="BI25" s="49" t="s">
        <v>53</v>
      </c>
      <c r="BJ25" s="49" t="s">
        <v>53</v>
      </c>
      <c r="BK25" s="49" t="s">
        <v>53</v>
      </c>
      <c r="BL25" s="49" t="s">
        <v>809</v>
      </c>
    </row>
    <row r="26" spans="1:64" x14ac:dyDescent="0.3">
      <c r="A26" s="181" t="s">
        <v>112</v>
      </c>
      <c r="B26" s="181" t="s">
        <v>113</v>
      </c>
      <c r="C26" s="181" t="s">
        <v>307</v>
      </c>
      <c r="D26" s="181" t="s">
        <v>307</v>
      </c>
      <c r="E26" s="181">
        <v>1474</v>
      </c>
      <c r="F26" s="181">
        <v>15</v>
      </c>
      <c r="G26" s="181">
        <v>1</v>
      </c>
      <c r="H26" s="181">
        <v>54094</v>
      </c>
      <c r="I26" s="181">
        <v>8</v>
      </c>
      <c r="J26" s="181">
        <v>1</v>
      </c>
      <c r="K26" s="181">
        <v>55622</v>
      </c>
      <c r="L26" s="182">
        <v>30172816</v>
      </c>
      <c r="M26" s="182">
        <v>17865747</v>
      </c>
      <c r="N26" s="182">
        <v>1401983</v>
      </c>
      <c r="O26" s="182">
        <v>49440546</v>
      </c>
      <c r="P26" s="187">
        <f t="shared" si="2"/>
        <v>0.61028484596428201</v>
      </c>
      <c r="Q26" s="184">
        <v>28847</v>
      </c>
      <c r="R26" s="188">
        <f>'All Data'!$O25/'All Data'!$Q25</f>
        <v>4763.2516874517869</v>
      </c>
      <c r="S26" s="182">
        <v>1208004956</v>
      </c>
      <c r="T26" s="183">
        <v>119928</v>
      </c>
      <c r="U26" s="182">
        <f t="shared" si="3"/>
        <v>10072.751617637248</v>
      </c>
      <c r="V26" s="186">
        <v>0.30730000000000002</v>
      </c>
      <c r="W26" s="185">
        <v>7.83</v>
      </c>
      <c r="X26" s="186">
        <v>-0.254</v>
      </c>
      <c r="Y26" s="189">
        <v>0.35520000000000002</v>
      </c>
      <c r="Z26" s="193">
        <v>0.72340000000000004</v>
      </c>
      <c r="AA26" s="190">
        <v>0.7664825977926657</v>
      </c>
      <c r="AB26" s="194">
        <v>9</v>
      </c>
      <c r="AC26" s="189">
        <v>0.36499999999999999</v>
      </c>
      <c r="AD26" s="193">
        <v>0.246</v>
      </c>
      <c r="AE26" s="192">
        <v>2210</v>
      </c>
      <c r="AF26" s="191">
        <v>3.2</v>
      </c>
      <c r="AG26" s="196">
        <v>60910</v>
      </c>
      <c r="AH26" s="196">
        <v>52642</v>
      </c>
      <c r="AI26" s="196">
        <v>-8268</v>
      </c>
      <c r="AJ26" s="197">
        <v>-0.13574126362800598</v>
      </c>
      <c r="AK26" s="196">
        <v>15271.000091552734</v>
      </c>
      <c r="AL26" s="196">
        <v>13636.666687011719</v>
      </c>
      <c r="AM26" s="196">
        <v>1378.6666617393494</v>
      </c>
      <c r="AN26" s="197">
        <v>0.40204745531082153</v>
      </c>
      <c r="AO26" s="197">
        <v>0.61503297090530396</v>
      </c>
      <c r="AP26" s="197">
        <v>0.25024178624153137</v>
      </c>
      <c r="AQ26" s="197">
        <v>0.56899999999999995</v>
      </c>
      <c r="AR26" s="197">
        <v>0.80600000000000005</v>
      </c>
      <c r="AS26" s="197">
        <v>0.36499999999999999</v>
      </c>
      <c r="AT26" s="198">
        <v>0</v>
      </c>
      <c r="AU26" s="198">
        <v>880315637</v>
      </c>
      <c r="AV26" s="197">
        <v>0</v>
      </c>
      <c r="AW26" s="191" t="s">
        <v>52</v>
      </c>
      <c r="AX26" s="191" t="s">
        <v>53</v>
      </c>
      <c r="AY26" s="191"/>
      <c r="AZ26" s="191" t="s">
        <v>53</v>
      </c>
      <c r="BA26" s="191" t="s">
        <v>53</v>
      </c>
      <c r="BB26" s="191" t="s">
        <v>53</v>
      </c>
      <c r="BC26" s="191" t="s">
        <v>60</v>
      </c>
      <c r="BD26" s="191" t="s">
        <v>60</v>
      </c>
      <c r="BE26" s="191" t="s">
        <v>60</v>
      </c>
      <c r="BF26" s="49" t="s">
        <v>53</v>
      </c>
      <c r="BG26" s="49" t="s">
        <v>53</v>
      </c>
      <c r="BH26" s="49" t="s">
        <v>53</v>
      </c>
      <c r="BI26" s="49" t="s">
        <v>53</v>
      </c>
      <c r="BJ26" s="49" t="s">
        <v>53</v>
      </c>
      <c r="BK26" s="49" t="s">
        <v>53</v>
      </c>
    </row>
    <row r="27" spans="1:64" x14ac:dyDescent="0.3">
      <c r="A27" s="164" t="s">
        <v>114</v>
      </c>
      <c r="B27" s="164" t="s">
        <v>115</v>
      </c>
      <c r="C27" s="164" t="s">
        <v>307</v>
      </c>
      <c r="D27" s="164" t="s">
        <v>307</v>
      </c>
      <c r="E27" s="164">
        <v>3140</v>
      </c>
      <c r="F27" s="164">
        <v>14</v>
      </c>
      <c r="G27" s="164">
        <v>7</v>
      </c>
      <c r="H27" s="164">
        <v>51019</v>
      </c>
      <c r="I27" s="164">
        <v>13</v>
      </c>
      <c r="J27" s="164">
        <v>2</v>
      </c>
      <c r="K27" s="164">
        <v>84081</v>
      </c>
      <c r="L27" s="165">
        <v>75647423</v>
      </c>
      <c r="M27" s="165">
        <v>73711798</v>
      </c>
      <c r="N27" s="165"/>
      <c r="O27" s="165">
        <v>149359221</v>
      </c>
      <c r="P27" s="170">
        <f t="shared" si="2"/>
        <v>0.50647976397787986</v>
      </c>
      <c r="Q27" s="167">
        <v>61558</v>
      </c>
      <c r="R27" s="171">
        <f>'All Data'!$O26/'All Data'!$Q26</f>
        <v>1713.888653932818</v>
      </c>
      <c r="S27" s="165">
        <v>1397562016</v>
      </c>
      <c r="T27" s="166">
        <v>146201</v>
      </c>
      <c r="U27" s="165">
        <f t="shared" si="3"/>
        <v>9559.1823311742046</v>
      </c>
      <c r="V27" s="169">
        <v>0.73609999999999998</v>
      </c>
      <c r="W27" s="168">
        <v>3.88</v>
      </c>
      <c r="X27" s="169">
        <v>-0.17100000000000001</v>
      </c>
      <c r="Y27" s="172">
        <v>0.2964</v>
      </c>
      <c r="Z27" s="176">
        <v>0.73329999999999995</v>
      </c>
      <c r="AA27" s="173">
        <v>1.0000436324769584</v>
      </c>
      <c r="AB27" s="177">
        <v>15.67</v>
      </c>
      <c r="AC27" s="172">
        <v>0.42699999999999999</v>
      </c>
      <c r="AD27" s="176">
        <v>0.33700000000000002</v>
      </c>
      <c r="AE27" s="175">
        <v>2668</v>
      </c>
      <c r="AF27" s="174">
        <v>3.7</v>
      </c>
      <c r="AG27" s="178">
        <v>57276</v>
      </c>
      <c r="AH27" s="178">
        <v>50048</v>
      </c>
      <c r="AI27" s="178">
        <v>-7228</v>
      </c>
      <c r="AJ27" s="179">
        <v>-0.12619596719741821</v>
      </c>
      <c r="AK27" s="178">
        <v>13744.666839599609</v>
      </c>
      <c r="AL27" s="178">
        <v>13181.333282470703</v>
      </c>
      <c r="AM27" s="178">
        <v>3868.6666469573975</v>
      </c>
      <c r="AN27" s="179">
        <v>0.33482077717781067</v>
      </c>
      <c r="AO27" s="179">
        <v>0.62391257286071777</v>
      </c>
      <c r="AP27" s="179">
        <v>0.37627089023590088</v>
      </c>
      <c r="AQ27" s="179">
        <v>0.59099999999999997</v>
      </c>
      <c r="AR27" s="179">
        <v>0.79200000000000004</v>
      </c>
      <c r="AS27" s="179">
        <v>0.45500000000000002</v>
      </c>
      <c r="AT27" s="180">
        <v>0</v>
      </c>
      <c r="AU27" s="180">
        <v>1116896513</v>
      </c>
      <c r="AV27" s="179">
        <v>0</v>
      </c>
      <c r="AW27" s="174" t="s">
        <v>52</v>
      </c>
      <c r="AX27" s="191" t="s">
        <v>53</v>
      </c>
      <c r="AY27" s="174"/>
      <c r="AZ27" s="174" t="s">
        <v>53</v>
      </c>
      <c r="BA27" s="174" t="s">
        <v>53</v>
      </c>
      <c r="BB27" s="174" t="s">
        <v>60</v>
      </c>
      <c r="BC27" s="174" t="s">
        <v>53</v>
      </c>
      <c r="BD27" s="174" t="s">
        <v>60</v>
      </c>
      <c r="BE27" s="174" t="s">
        <v>60</v>
      </c>
      <c r="BF27" s="49" t="s">
        <v>53</v>
      </c>
      <c r="BG27" s="49" t="s">
        <v>53</v>
      </c>
      <c r="BH27" s="49" t="s">
        <v>53</v>
      </c>
      <c r="BI27" s="49" t="s">
        <v>53</v>
      </c>
      <c r="BJ27" s="49" t="s">
        <v>53</v>
      </c>
      <c r="BK27" s="49" t="s">
        <v>53</v>
      </c>
    </row>
    <row r="28" spans="1:64" x14ac:dyDescent="0.3">
      <c r="A28" s="181" t="s">
        <v>116</v>
      </c>
      <c r="B28" s="181" t="s">
        <v>117</v>
      </c>
      <c r="C28" s="181" t="s">
        <v>307</v>
      </c>
      <c r="D28" s="181" t="s">
        <v>307</v>
      </c>
      <c r="E28" s="181">
        <v>553</v>
      </c>
      <c r="F28" s="181">
        <v>9</v>
      </c>
      <c r="G28" s="181">
        <v>5</v>
      </c>
      <c r="H28" s="181">
        <v>4771</v>
      </c>
      <c r="I28" s="181">
        <v>9</v>
      </c>
      <c r="J28" s="181">
        <v>1</v>
      </c>
      <c r="K28" s="181">
        <v>26887</v>
      </c>
      <c r="L28" s="182">
        <v>737161</v>
      </c>
      <c r="M28" s="182"/>
      <c r="N28" s="182">
        <v>815780</v>
      </c>
      <c r="O28" s="182">
        <v>1552941</v>
      </c>
      <c r="P28" s="187">
        <f t="shared" si="2"/>
        <v>0.47468706151746909</v>
      </c>
      <c r="Q28" s="184">
        <v>9543</v>
      </c>
      <c r="R28" s="188">
        <f>'All Data'!$O27/'All Data'!$Q27</f>
        <v>2426.3169856070699</v>
      </c>
      <c r="S28" s="182">
        <v>295803724</v>
      </c>
      <c r="T28" s="183">
        <v>33811</v>
      </c>
      <c r="U28" s="182">
        <f t="shared" si="3"/>
        <v>8748.7422436485176</v>
      </c>
      <c r="V28" s="186">
        <v>0.4773</v>
      </c>
      <c r="W28" s="185">
        <v>4.4000000000000004</v>
      </c>
      <c r="X28" s="186">
        <v>-0.20200000000000001</v>
      </c>
      <c r="Y28" s="189">
        <v>0.24010000000000001</v>
      </c>
      <c r="Z28" s="193">
        <v>0.55810000000000004</v>
      </c>
      <c r="AA28" s="190">
        <v>1.139582587178068</v>
      </c>
      <c r="AB28" s="194">
        <v>11.18</v>
      </c>
      <c r="AC28" s="189">
        <v>0.45700000000000002</v>
      </c>
      <c r="AD28" s="193">
        <v>0.35399999999999998</v>
      </c>
      <c r="AE28" s="192">
        <v>2326</v>
      </c>
      <c r="AF28" s="191">
        <v>3</v>
      </c>
      <c r="AG28" s="196">
        <v>5124</v>
      </c>
      <c r="AH28" s="196">
        <v>4869</v>
      </c>
      <c r="AI28" s="196">
        <v>-255</v>
      </c>
      <c r="AJ28" s="197">
        <v>-4.9765806645154953E-2</v>
      </c>
      <c r="AK28" s="196">
        <v>985.5</v>
      </c>
      <c r="AL28" s="196">
        <v>925.66667175292969</v>
      </c>
      <c r="AM28" s="196">
        <v>254.99999713897705</v>
      </c>
      <c r="AN28" s="197">
        <v>0.32166412472724915</v>
      </c>
      <c r="AO28" s="197">
        <v>0.55887651443481445</v>
      </c>
      <c r="AP28" s="197">
        <v>0.40130719542503357</v>
      </c>
      <c r="AQ28" s="197">
        <v>0.51600000000000001</v>
      </c>
      <c r="AR28" s="197">
        <v>0.74399999999999999</v>
      </c>
      <c r="AS28" s="197">
        <v>0.51300000000000001</v>
      </c>
      <c r="AT28" s="198">
        <v>11944863</v>
      </c>
      <c r="AU28" s="198">
        <v>263198815</v>
      </c>
      <c r="AV28" s="197">
        <v>4.4999999999999998E-2</v>
      </c>
      <c r="AW28" s="191" t="s">
        <v>52</v>
      </c>
      <c r="AX28" s="174" t="s">
        <v>60</v>
      </c>
      <c r="AY28" s="191" t="s">
        <v>118</v>
      </c>
      <c r="AZ28" s="191" t="s">
        <v>60</v>
      </c>
      <c r="BA28" s="191" t="s">
        <v>60</v>
      </c>
      <c r="BB28" s="191" t="s">
        <v>60</v>
      </c>
      <c r="BC28" s="191" t="s">
        <v>60</v>
      </c>
      <c r="BD28" s="191" t="s">
        <v>60</v>
      </c>
      <c r="BE28" s="191" t="s">
        <v>53</v>
      </c>
      <c r="BF28" s="49" t="s">
        <v>53</v>
      </c>
      <c r="BG28" s="23" t="s">
        <v>60</v>
      </c>
      <c r="BH28" s="49" t="s">
        <v>53</v>
      </c>
      <c r="BI28" s="49" t="s">
        <v>53</v>
      </c>
      <c r="BJ28" s="49" t="s">
        <v>53</v>
      </c>
      <c r="BK28" s="49" t="s">
        <v>53</v>
      </c>
      <c r="BL28" s="49" t="s">
        <v>809</v>
      </c>
    </row>
    <row r="29" spans="1:64" x14ac:dyDescent="0.3">
      <c r="A29" s="164" t="s">
        <v>119</v>
      </c>
      <c r="B29" s="164" t="s">
        <v>120</v>
      </c>
      <c r="C29" s="164" t="s">
        <v>307</v>
      </c>
      <c r="D29" s="164" t="s">
        <v>307</v>
      </c>
      <c r="E29" s="164">
        <v>967</v>
      </c>
      <c r="F29" s="164">
        <v>8</v>
      </c>
      <c r="G29" s="164">
        <v>3</v>
      </c>
      <c r="H29" s="164">
        <v>22712</v>
      </c>
      <c r="I29" s="164">
        <v>8</v>
      </c>
      <c r="J29" s="164">
        <v>1</v>
      </c>
      <c r="K29" s="164">
        <v>40569</v>
      </c>
      <c r="L29" s="165">
        <v>28477668</v>
      </c>
      <c r="M29" s="165">
        <v>13000000</v>
      </c>
      <c r="N29" s="165">
        <v>3746296</v>
      </c>
      <c r="O29" s="165">
        <v>45223964</v>
      </c>
      <c r="P29" s="170">
        <f t="shared" si="2"/>
        <v>0.62970304858724901</v>
      </c>
      <c r="Q29" s="167">
        <v>22213</v>
      </c>
      <c r="R29" s="171">
        <f>'All Data'!$O28/'All Data'!$Q28</f>
        <v>162.73090223200251</v>
      </c>
      <c r="S29" s="165">
        <v>1072464238</v>
      </c>
      <c r="T29" s="166">
        <v>73117</v>
      </c>
      <c r="U29" s="165">
        <f t="shared" si="3"/>
        <v>14667.782294131324</v>
      </c>
      <c r="V29" s="169">
        <v>0.44819999999999999</v>
      </c>
      <c r="W29" s="168">
        <v>8.4600000000000009</v>
      </c>
      <c r="X29" s="169">
        <v>-9.2999999999999999E-2</v>
      </c>
      <c r="Y29" s="172">
        <v>0.24199999999999999</v>
      </c>
      <c r="Z29" s="176">
        <v>0.55249999999999999</v>
      </c>
      <c r="AA29" s="173">
        <v>1.2927740137944159</v>
      </c>
      <c r="AB29" s="177">
        <v>17.239999999999998</v>
      </c>
      <c r="AC29" s="172">
        <v>0.48699999999999999</v>
      </c>
      <c r="AD29" s="176">
        <v>0.36699999999999999</v>
      </c>
      <c r="AE29" s="175">
        <v>3753</v>
      </c>
      <c r="AF29" s="174">
        <v>2.8</v>
      </c>
      <c r="AG29" s="178">
        <v>25921</v>
      </c>
      <c r="AH29" s="178">
        <v>23284</v>
      </c>
      <c r="AI29" s="178">
        <v>-2637</v>
      </c>
      <c r="AJ29" s="179">
        <v>-0.10173218697309494</v>
      </c>
      <c r="AK29" s="178">
        <v>3987.3333835601807</v>
      </c>
      <c r="AL29" s="178">
        <v>3840.6667222976685</v>
      </c>
      <c r="AM29" s="178">
        <v>1496.6666488647461</v>
      </c>
      <c r="AN29" s="179">
        <v>0.37928441166877747</v>
      </c>
      <c r="AO29" s="179">
        <v>0.62949138879776001</v>
      </c>
      <c r="AP29" s="179">
        <v>0.41625836491584778</v>
      </c>
      <c r="AQ29" s="179">
        <v>0.58699999999999997</v>
      </c>
      <c r="AR29" s="179">
        <v>0.77700000000000002</v>
      </c>
      <c r="AS29" s="179">
        <v>0.42399999999999999</v>
      </c>
      <c r="AT29" s="180">
        <v>0</v>
      </c>
      <c r="AU29" s="180">
        <v>879370300</v>
      </c>
      <c r="AV29" s="179">
        <v>0</v>
      </c>
      <c r="AW29" s="174" t="s">
        <v>52</v>
      </c>
      <c r="AX29" s="174" t="s">
        <v>60</v>
      </c>
      <c r="AY29" s="174" t="s">
        <v>59</v>
      </c>
      <c r="AZ29" s="174" t="s">
        <v>53</v>
      </c>
      <c r="BA29" s="174" t="s">
        <v>53</v>
      </c>
      <c r="BB29" s="174" t="s">
        <v>53</v>
      </c>
      <c r="BC29" s="174" t="s">
        <v>60</v>
      </c>
      <c r="BD29" s="174" t="s">
        <v>53</v>
      </c>
      <c r="BE29" s="174" t="s">
        <v>53</v>
      </c>
      <c r="BF29" s="49" t="s">
        <v>53</v>
      </c>
      <c r="BG29" s="49" t="s">
        <v>53</v>
      </c>
      <c r="BH29" s="49" t="s">
        <v>53</v>
      </c>
      <c r="BI29" s="49" t="s">
        <v>53</v>
      </c>
      <c r="BJ29" s="49" t="s">
        <v>53</v>
      </c>
      <c r="BK29" s="49" t="s">
        <v>53</v>
      </c>
    </row>
    <row r="30" spans="1:64" x14ac:dyDescent="0.3">
      <c r="A30" s="181" t="s">
        <v>121</v>
      </c>
      <c r="B30" s="181" t="s">
        <v>122</v>
      </c>
      <c r="C30" s="181" t="s">
        <v>307</v>
      </c>
      <c r="D30" s="181" t="s">
        <v>311</v>
      </c>
      <c r="E30" s="181">
        <v>1674</v>
      </c>
      <c r="F30" s="181">
        <v>4</v>
      </c>
      <c r="G30" s="181">
        <v>0</v>
      </c>
      <c r="H30" s="181">
        <v>27884</v>
      </c>
      <c r="I30" s="181">
        <v>3</v>
      </c>
      <c r="J30" s="181">
        <v>1</v>
      </c>
      <c r="K30" s="181">
        <v>41895</v>
      </c>
      <c r="L30" s="182">
        <v>22323832</v>
      </c>
      <c r="M30" s="182">
        <v>39204724</v>
      </c>
      <c r="N30" s="182">
        <v>20225084</v>
      </c>
      <c r="O30" s="182">
        <v>81753640</v>
      </c>
      <c r="P30" s="187">
        <f t="shared" si="2"/>
        <v>0.27306223918592493</v>
      </c>
      <c r="Q30" s="184">
        <v>31502</v>
      </c>
      <c r="R30" s="188">
        <f>'All Data'!$O29/'All Data'!$Q29</f>
        <v>2035.9232881645883</v>
      </c>
      <c r="S30" s="182">
        <v>746558669</v>
      </c>
      <c r="T30" s="183">
        <v>75330</v>
      </c>
      <c r="U30" s="182">
        <f t="shared" si="3"/>
        <v>9910.5093455462629</v>
      </c>
      <c r="V30" s="186">
        <v>0.1409</v>
      </c>
      <c r="W30" s="185">
        <v>3.92</v>
      </c>
      <c r="X30" s="186">
        <v>-0.23699999999999999</v>
      </c>
      <c r="Y30" s="189">
        <v>0.2437</v>
      </c>
      <c r="Z30" s="193">
        <v>0.61109999999999998</v>
      </c>
      <c r="AA30" s="190">
        <v>0.90826412798875666</v>
      </c>
      <c r="AB30" s="194">
        <v>12.22</v>
      </c>
      <c r="AC30" s="189">
        <v>0.36</v>
      </c>
      <c r="AD30" s="193">
        <v>0.27200000000000002</v>
      </c>
      <c r="AE30" s="192">
        <v>2348</v>
      </c>
      <c r="AF30" s="191">
        <v>5.6</v>
      </c>
      <c r="AG30" s="196">
        <v>31134</v>
      </c>
      <c r="AH30" s="196">
        <v>27267</v>
      </c>
      <c r="AI30" s="196">
        <v>-3867</v>
      </c>
      <c r="AJ30" s="197">
        <v>-0.12420505285263062</v>
      </c>
      <c r="AK30" s="196">
        <v>3169.6665954589844</v>
      </c>
      <c r="AL30" s="196">
        <v>11</v>
      </c>
      <c r="AM30" s="196">
        <v>16.333333969116211</v>
      </c>
      <c r="AN30" s="197">
        <v>0.21411295235157013</v>
      </c>
      <c r="AO30" s="197">
        <v>0.57575756311416626</v>
      </c>
      <c r="AP30" s="197">
        <v>0.44897958636283875</v>
      </c>
      <c r="AQ30" s="197">
        <v>0.54100000000000004</v>
      </c>
      <c r="AR30" s="197">
        <v>0.78700000000000003</v>
      </c>
      <c r="AS30" s="197">
        <v>0.39200000000000002</v>
      </c>
      <c r="AT30" s="198">
        <v>109487799</v>
      </c>
      <c r="AU30" s="198">
        <v>721423424</v>
      </c>
      <c r="AV30" s="197">
        <v>0.152</v>
      </c>
      <c r="AW30" s="191" t="s">
        <v>52</v>
      </c>
      <c r="AX30" s="191" t="s">
        <v>53</v>
      </c>
      <c r="AY30" s="191"/>
      <c r="AZ30" s="191" t="s">
        <v>60</v>
      </c>
      <c r="BA30" s="191" t="s">
        <v>60</v>
      </c>
      <c r="BB30" s="191" t="s">
        <v>60</v>
      </c>
      <c r="BC30" s="191" t="s">
        <v>60</v>
      </c>
      <c r="BD30" s="191" t="s">
        <v>60</v>
      </c>
      <c r="BE30" s="191" t="s">
        <v>60</v>
      </c>
      <c r="BF30" s="49" t="s">
        <v>53</v>
      </c>
      <c r="BG30" s="49" t="s">
        <v>53</v>
      </c>
      <c r="BH30" s="49" t="s">
        <v>53</v>
      </c>
      <c r="BI30" s="49" t="s">
        <v>53</v>
      </c>
      <c r="BJ30" s="49" t="s">
        <v>53</v>
      </c>
      <c r="BK30" s="49" t="s">
        <v>53</v>
      </c>
    </row>
    <row r="31" spans="1:64" x14ac:dyDescent="0.3">
      <c r="A31" s="164" t="s">
        <v>123</v>
      </c>
      <c r="B31" s="164" t="s">
        <v>124</v>
      </c>
      <c r="C31" s="164" t="s">
        <v>307</v>
      </c>
      <c r="D31" s="164" t="s">
        <v>307</v>
      </c>
      <c r="E31" s="164">
        <v>739</v>
      </c>
      <c r="F31" s="164">
        <v>7</v>
      </c>
      <c r="G31" s="164">
        <v>5</v>
      </c>
      <c r="H31" s="164">
        <v>7186</v>
      </c>
      <c r="I31" s="164">
        <v>5</v>
      </c>
      <c r="J31" s="164">
        <v>1</v>
      </c>
      <c r="K31" s="164">
        <v>20550</v>
      </c>
      <c r="L31" s="165">
        <v>2295580</v>
      </c>
      <c r="M31" s="165">
        <v>1580554</v>
      </c>
      <c r="N31" s="165"/>
      <c r="O31" s="165">
        <v>3876134</v>
      </c>
      <c r="P31" s="170">
        <f t="shared" si="2"/>
        <v>0.59223442739595689</v>
      </c>
      <c r="Q31" s="167">
        <v>12034</v>
      </c>
      <c r="R31" s="171">
        <f>'All Data'!$O30/'All Data'!$Q30</f>
        <v>2595.1888768967051</v>
      </c>
      <c r="S31" s="165">
        <v>154411553</v>
      </c>
      <c r="T31" s="166">
        <v>30009</v>
      </c>
      <c r="U31" s="165">
        <f t="shared" si="3"/>
        <v>5145.508114232397</v>
      </c>
      <c r="V31" s="169">
        <v>0.74609999999999999</v>
      </c>
      <c r="W31" s="168">
        <v>1.54</v>
      </c>
      <c r="X31" s="169">
        <v>0.20899999999999999</v>
      </c>
      <c r="Y31" s="172">
        <v>0.3095</v>
      </c>
      <c r="Z31" s="176">
        <v>0.6079</v>
      </c>
      <c r="AA31" s="173">
        <v>0.89323778395826148</v>
      </c>
      <c r="AB31" s="177">
        <v>14.17</v>
      </c>
      <c r="AC31" s="172">
        <v>0.51700000000000002</v>
      </c>
      <c r="AD31" s="176">
        <v>0.41399999999999998</v>
      </c>
      <c r="AE31" s="175">
        <v>3112</v>
      </c>
      <c r="AF31" s="174">
        <v>2.6</v>
      </c>
      <c r="AG31" s="178">
        <v>9013</v>
      </c>
      <c r="AH31" s="178">
        <v>7095</v>
      </c>
      <c r="AI31" s="178">
        <v>-1918</v>
      </c>
      <c r="AJ31" s="179">
        <v>-0.21280372142791748</v>
      </c>
      <c r="AK31" s="178">
        <v>1447.0000076293945</v>
      </c>
      <c r="AL31" s="178">
        <v>1322.6666679382324</v>
      </c>
      <c r="AM31" s="178">
        <v>977.33333587646484</v>
      </c>
      <c r="AN31" s="179">
        <v>0.33494585752487183</v>
      </c>
      <c r="AO31" s="179">
        <v>0.59097784757614136</v>
      </c>
      <c r="AP31" s="179">
        <v>0.45736697316169739</v>
      </c>
      <c r="AQ31" s="179">
        <v>0.67700000000000005</v>
      </c>
      <c r="AR31" s="179">
        <v>0.79900000000000004</v>
      </c>
      <c r="AS31" s="179">
        <v>0.55900000000000005</v>
      </c>
      <c r="AT31" s="180">
        <v>0</v>
      </c>
      <c r="AU31" s="180">
        <v>153315129</v>
      </c>
      <c r="AV31" s="179">
        <v>0</v>
      </c>
      <c r="AW31" s="174" t="s">
        <v>52</v>
      </c>
      <c r="AX31" s="191" t="s">
        <v>53</v>
      </c>
      <c r="AY31" s="174"/>
      <c r="AZ31" s="174" t="s">
        <v>53</v>
      </c>
      <c r="BA31" s="174" t="s">
        <v>53</v>
      </c>
      <c r="BB31" s="174" t="s">
        <v>60</v>
      </c>
      <c r="BC31" s="174" t="s">
        <v>53</v>
      </c>
      <c r="BD31" s="174" t="s">
        <v>53</v>
      </c>
      <c r="BE31" s="174" t="s">
        <v>53</v>
      </c>
      <c r="BF31" s="49" t="s">
        <v>53</v>
      </c>
      <c r="BG31" s="49" t="s">
        <v>53</v>
      </c>
      <c r="BH31" s="49" t="s">
        <v>53</v>
      </c>
      <c r="BI31" s="49" t="s">
        <v>53</v>
      </c>
      <c r="BJ31" s="49" t="s">
        <v>53</v>
      </c>
      <c r="BK31" s="49" t="s">
        <v>53</v>
      </c>
    </row>
    <row r="32" spans="1:64" x14ac:dyDescent="0.3">
      <c r="A32" s="181" t="s">
        <v>125</v>
      </c>
      <c r="B32" s="181" t="s">
        <v>126</v>
      </c>
      <c r="C32" s="181" t="s">
        <v>311</v>
      </c>
      <c r="D32" s="181" t="s">
        <v>311</v>
      </c>
      <c r="E32" s="181">
        <v>4897</v>
      </c>
      <c r="F32" s="181">
        <v>19</v>
      </c>
      <c r="G32" s="181">
        <v>15</v>
      </c>
      <c r="H32" s="181">
        <v>84613</v>
      </c>
      <c r="I32" s="181">
        <v>13</v>
      </c>
      <c r="J32" s="181">
        <v>0</v>
      </c>
      <c r="K32" s="181">
        <v>134966</v>
      </c>
      <c r="L32" s="182">
        <v>485985790</v>
      </c>
      <c r="M32" s="182">
        <v>7268206</v>
      </c>
      <c r="N32" s="182">
        <v>30000</v>
      </c>
      <c r="O32" s="182">
        <v>493283996</v>
      </c>
      <c r="P32" s="187">
        <f t="shared" si="2"/>
        <v>0.98520485955518411</v>
      </c>
      <c r="Q32" s="184">
        <v>97119</v>
      </c>
      <c r="R32" s="188">
        <f>'All Data'!$O31/'All Data'!$Q31</f>
        <v>322.09855409672593</v>
      </c>
      <c r="S32" s="182">
        <v>3090507000</v>
      </c>
      <c r="T32" s="183">
        <v>245657</v>
      </c>
      <c r="U32" s="182">
        <f t="shared" si="3"/>
        <v>12580.577797498137</v>
      </c>
      <c r="V32" s="186">
        <v>0.42380000000000001</v>
      </c>
      <c r="W32" s="185">
        <v>4.12</v>
      </c>
      <c r="X32" s="186">
        <v>-0.14499999999999999</v>
      </c>
      <c r="Y32" s="189">
        <v>0.33329999999999999</v>
      </c>
      <c r="Z32" s="193">
        <v>1.0193000000000001</v>
      </c>
      <c r="AA32" s="190">
        <v>0.72282514369723017</v>
      </c>
      <c r="AB32" s="194">
        <v>12.98</v>
      </c>
      <c r="AC32" s="189">
        <v>0.52800000000000002</v>
      </c>
      <c r="AD32" s="193">
        <v>0.45800000000000002</v>
      </c>
      <c r="AE32" s="192">
        <v>2066</v>
      </c>
      <c r="AF32" s="191">
        <v>4.5</v>
      </c>
      <c r="AG32" s="196">
        <v>99904</v>
      </c>
      <c r="AH32" s="196">
        <v>83752</v>
      </c>
      <c r="AI32" s="196">
        <v>-16152</v>
      </c>
      <c r="AJ32" s="197">
        <v>-0.16167521476745605</v>
      </c>
      <c r="AK32" s="196">
        <v>20118.666656494141</v>
      </c>
      <c r="AL32" s="196">
        <v>18533.000015258789</v>
      </c>
      <c r="AM32" s="196">
        <v>6389.9999618530273</v>
      </c>
      <c r="AN32" s="197">
        <v>0.28285506367683411</v>
      </c>
      <c r="AO32" s="197">
        <v>0.64904046058654785</v>
      </c>
      <c r="AP32" s="197">
        <v>0.4642670750617981</v>
      </c>
      <c r="AQ32" s="197">
        <v>0.70599999999999996</v>
      </c>
      <c r="AR32" s="197">
        <v>0.85199999999999998</v>
      </c>
      <c r="AS32" s="197">
        <v>0.59199999999999997</v>
      </c>
      <c r="AT32" s="198">
        <v>319626000</v>
      </c>
      <c r="AU32" s="198">
        <v>2388683000</v>
      </c>
      <c r="AV32" s="197">
        <v>0.13400000000000001</v>
      </c>
      <c r="AW32" s="191" t="s">
        <v>69</v>
      </c>
      <c r="AX32" s="174" t="s">
        <v>60</v>
      </c>
      <c r="AY32" s="191" t="s">
        <v>127</v>
      </c>
      <c r="AZ32" s="191" t="s">
        <v>60</v>
      </c>
      <c r="BA32" s="191" t="s">
        <v>60</v>
      </c>
      <c r="BB32" s="191" t="s">
        <v>60</v>
      </c>
      <c r="BC32" s="191" t="s">
        <v>60</v>
      </c>
      <c r="BD32" s="191" t="s">
        <v>53</v>
      </c>
      <c r="BE32" s="191" t="s">
        <v>60</v>
      </c>
      <c r="BF32" s="49" t="s">
        <v>53</v>
      </c>
      <c r="BG32" s="23" t="s">
        <v>60</v>
      </c>
      <c r="BH32" s="49" t="s">
        <v>53</v>
      </c>
      <c r="BI32" s="49" t="s">
        <v>53</v>
      </c>
      <c r="BJ32" s="49" t="s">
        <v>53</v>
      </c>
      <c r="BK32" s="49" t="s">
        <v>53</v>
      </c>
    </row>
    <row r="33" spans="1:64" x14ac:dyDescent="0.3">
      <c r="A33" s="164" t="s">
        <v>128</v>
      </c>
      <c r="B33" s="164" t="s">
        <v>129</v>
      </c>
      <c r="C33" s="164" t="s">
        <v>311</v>
      </c>
      <c r="D33" s="164" t="s">
        <v>311</v>
      </c>
      <c r="E33" s="164">
        <v>1055</v>
      </c>
      <c r="F33" s="164">
        <v>20</v>
      </c>
      <c r="G33" s="164">
        <v>16</v>
      </c>
      <c r="H33" s="164">
        <v>31314</v>
      </c>
      <c r="I33" s="164">
        <v>8</v>
      </c>
      <c r="J33" s="164">
        <v>4</v>
      </c>
      <c r="K33" s="164">
        <v>31985</v>
      </c>
      <c r="L33" s="165">
        <v>17661948</v>
      </c>
      <c r="M33" s="165">
        <v>225138399</v>
      </c>
      <c r="N33" s="165">
        <v>5010803</v>
      </c>
      <c r="O33" s="165">
        <v>247811150</v>
      </c>
      <c r="P33" s="170">
        <f t="shared" si="2"/>
        <v>7.127180516292346E-2</v>
      </c>
      <c r="Q33" s="167">
        <v>19026</v>
      </c>
      <c r="R33" s="171">
        <f>'All Data'!$O32/'All Data'!$Q32</f>
        <v>5079.1708728467138</v>
      </c>
      <c r="S33" s="165">
        <v>1591418041</v>
      </c>
      <c r="T33" s="166">
        <v>73523</v>
      </c>
      <c r="U33" s="165">
        <f t="shared" si="3"/>
        <v>21645.172816669612</v>
      </c>
      <c r="V33" s="169">
        <v>1.0361</v>
      </c>
      <c r="W33" s="168">
        <v>12.41</v>
      </c>
      <c r="X33" s="169">
        <v>-7.8E-2</v>
      </c>
      <c r="Y33" s="172">
        <v>0.372</v>
      </c>
      <c r="Z33" s="176">
        <v>0.81789999999999996</v>
      </c>
      <c r="AA33" s="173">
        <v>0.6636398369721338</v>
      </c>
      <c r="AB33" s="177">
        <v>9.52</v>
      </c>
      <c r="AC33" s="172">
        <v>0.39300000000000002</v>
      </c>
      <c r="AD33" s="176">
        <v>0.29299999999999998</v>
      </c>
      <c r="AE33" s="175">
        <v>2239</v>
      </c>
      <c r="AF33" s="174">
        <v>4.0999999999999996</v>
      </c>
      <c r="AG33" s="178">
        <v>38467</v>
      </c>
      <c r="AH33" s="178">
        <v>31500</v>
      </c>
      <c r="AI33" s="178">
        <v>-6967</v>
      </c>
      <c r="AJ33" s="179">
        <v>-0.18111628293991089</v>
      </c>
      <c r="AK33" s="178">
        <v>5934.3332939147949</v>
      </c>
      <c r="AL33" s="178">
        <v>5263.3334274291992</v>
      </c>
      <c r="AM33" s="178">
        <v>2994.6666960716248</v>
      </c>
      <c r="AN33" s="179">
        <v>0.26225915551185608</v>
      </c>
      <c r="AO33" s="179">
        <v>0.58271056413650513</v>
      </c>
      <c r="AP33" s="179">
        <v>0.38613089919090271</v>
      </c>
      <c r="AQ33" s="179">
        <v>0.49299999999999999</v>
      </c>
      <c r="AR33" s="179">
        <v>0.71099999999999997</v>
      </c>
      <c r="AS33" s="179">
        <v>0.38900000000000001</v>
      </c>
      <c r="AT33" s="180">
        <v>35852500</v>
      </c>
      <c r="AU33" s="180">
        <v>1014010184</v>
      </c>
      <c r="AV33" s="179">
        <v>3.5000000000000003E-2</v>
      </c>
      <c r="AW33" s="174" t="s">
        <v>52</v>
      </c>
      <c r="AX33" s="191" t="s">
        <v>53</v>
      </c>
      <c r="AY33" s="174"/>
      <c r="AZ33" s="174" t="s">
        <v>60</v>
      </c>
      <c r="BA33" s="174" t="s">
        <v>60</v>
      </c>
      <c r="BB33" s="174" t="s">
        <v>60</v>
      </c>
      <c r="BC33" s="174" t="s">
        <v>60</v>
      </c>
      <c r="BD33" s="174" t="s">
        <v>53</v>
      </c>
      <c r="BE33" s="174" t="s">
        <v>60</v>
      </c>
      <c r="BF33" s="49" t="s">
        <v>53</v>
      </c>
      <c r="BG33" s="49" t="s">
        <v>53</v>
      </c>
      <c r="BH33" s="49" t="s">
        <v>53</v>
      </c>
      <c r="BI33" s="49" t="s">
        <v>53</v>
      </c>
      <c r="BJ33" s="49" t="s">
        <v>53</v>
      </c>
      <c r="BK33" s="49" t="s">
        <v>53</v>
      </c>
    </row>
    <row r="34" spans="1:64" ht="26" x14ac:dyDescent="0.3">
      <c r="A34" s="181" t="s">
        <v>130</v>
      </c>
      <c r="B34" s="181" t="s">
        <v>131</v>
      </c>
      <c r="C34" s="181" t="s">
        <v>311</v>
      </c>
      <c r="D34" s="181" t="s">
        <v>311</v>
      </c>
      <c r="E34" s="181">
        <v>10527</v>
      </c>
      <c r="F34" s="181">
        <v>38</v>
      </c>
      <c r="G34" s="181">
        <v>36</v>
      </c>
      <c r="H34" s="181">
        <v>151503</v>
      </c>
      <c r="I34" s="181">
        <v>41</v>
      </c>
      <c r="J34" s="181">
        <v>4</v>
      </c>
      <c r="K34" s="181">
        <v>281044</v>
      </c>
      <c r="L34" s="182">
        <v>670294800</v>
      </c>
      <c r="M34" s="182">
        <v>36610199</v>
      </c>
      <c r="N34" s="182">
        <v>137457417</v>
      </c>
      <c r="O34" s="182">
        <v>844362416</v>
      </c>
      <c r="P34" s="187">
        <f t="shared" si="2"/>
        <v>0.79384727138305033</v>
      </c>
      <c r="Q34" s="184">
        <v>178129</v>
      </c>
      <c r="R34" s="188">
        <f>'All Data'!$O33/'All Data'!$Q33</f>
        <v>13024.868600861979</v>
      </c>
      <c r="S34" s="182">
        <v>7461480675</v>
      </c>
      <c r="T34" s="183">
        <v>452131</v>
      </c>
      <c r="U34" s="182">
        <f t="shared" si="3"/>
        <v>16502.917683149353</v>
      </c>
      <c r="V34" s="186">
        <v>0.56259999999999999</v>
      </c>
      <c r="W34" s="185">
        <v>4.6500000000000004</v>
      </c>
      <c r="X34" s="186">
        <v>-0.17299999999999999</v>
      </c>
      <c r="Y34" s="189">
        <v>0.3387</v>
      </c>
      <c r="Z34" s="193">
        <v>1.0226999999999999</v>
      </c>
      <c r="AA34" s="190">
        <v>0.23843991518378729</v>
      </c>
      <c r="AB34" s="194">
        <v>2.02</v>
      </c>
      <c r="AC34" s="189">
        <v>0.51500000000000001</v>
      </c>
      <c r="AD34" s="193">
        <v>0.42199999999999999</v>
      </c>
      <c r="AE34" s="192">
        <v>2812</v>
      </c>
      <c r="AF34" s="191">
        <v>4.3</v>
      </c>
      <c r="AG34" s="196">
        <v>193350</v>
      </c>
      <c r="AH34" s="196">
        <v>143162</v>
      </c>
      <c r="AI34" s="196">
        <v>-50188</v>
      </c>
      <c r="AJ34" s="197">
        <v>-0.25957071781158447</v>
      </c>
      <c r="AK34" s="196">
        <v>45938.000366210938</v>
      </c>
      <c r="AL34" s="196">
        <v>41246.666320800781</v>
      </c>
      <c r="AM34" s="196">
        <v>6154.0000133514404</v>
      </c>
      <c r="AN34" s="197">
        <v>0.2641531229019165</v>
      </c>
      <c r="AO34" s="197">
        <v>0.57778406143188477</v>
      </c>
      <c r="AP34" s="197">
        <v>0.38668617606163025</v>
      </c>
      <c r="AQ34" s="197">
        <v>0.64400000000000002</v>
      </c>
      <c r="AR34" s="197">
        <v>0.80100000000000005</v>
      </c>
      <c r="AS34" s="197">
        <v>0.53900000000000003</v>
      </c>
      <c r="AT34" s="198">
        <v>0</v>
      </c>
      <c r="AU34" s="198">
        <v>6737217464</v>
      </c>
      <c r="AV34" s="197">
        <v>0</v>
      </c>
      <c r="AW34" s="191" t="s">
        <v>64</v>
      </c>
      <c r="AX34" s="174" t="s">
        <v>60</v>
      </c>
      <c r="AY34" s="191" t="s">
        <v>133</v>
      </c>
      <c r="AZ34" s="191" t="s">
        <v>53</v>
      </c>
      <c r="BA34" s="191" t="s">
        <v>53</v>
      </c>
      <c r="BB34" s="191" t="s">
        <v>60</v>
      </c>
      <c r="BC34" s="191" t="s">
        <v>53</v>
      </c>
      <c r="BD34" s="191" t="s">
        <v>60</v>
      </c>
      <c r="BE34" s="191" t="s">
        <v>53</v>
      </c>
      <c r="BF34" s="49" t="s">
        <v>53</v>
      </c>
      <c r="BG34" s="23" t="s">
        <v>60</v>
      </c>
      <c r="BH34" s="23" t="s">
        <v>60</v>
      </c>
      <c r="BI34" s="49" t="s">
        <v>53</v>
      </c>
      <c r="BJ34" s="49" t="s">
        <v>53</v>
      </c>
      <c r="BK34" s="49" t="s">
        <v>53</v>
      </c>
    </row>
    <row r="35" spans="1:64" x14ac:dyDescent="0.3">
      <c r="A35" s="164" t="s">
        <v>134</v>
      </c>
      <c r="B35" s="164" t="s">
        <v>135</v>
      </c>
      <c r="C35" s="164" t="s">
        <v>311</v>
      </c>
      <c r="D35" s="164" t="s">
        <v>307</v>
      </c>
      <c r="E35" s="164">
        <v>5475</v>
      </c>
      <c r="F35" s="164">
        <v>58</v>
      </c>
      <c r="G35" s="164">
        <v>23</v>
      </c>
      <c r="H35" s="164">
        <v>147755</v>
      </c>
      <c r="I35" s="164">
        <v>17</v>
      </c>
      <c r="J35" s="164">
        <v>0</v>
      </c>
      <c r="K35" s="164">
        <v>178200</v>
      </c>
      <c r="L35" s="165">
        <v>241842562</v>
      </c>
      <c r="M35" s="165">
        <v>5866043</v>
      </c>
      <c r="N35" s="165">
        <v>23762868</v>
      </c>
      <c r="O35" s="165">
        <v>271471473</v>
      </c>
      <c r="P35" s="170">
        <f t="shared" si="2"/>
        <v>0.89085810500611973</v>
      </c>
      <c r="Q35" s="167">
        <v>106316</v>
      </c>
      <c r="R35" s="171">
        <f>'All Data'!$O34/'All Data'!$Q34</f>
        <v>4740.173784167654</v>
      </c>
      <c r="S35" s="165">
        <v>5523573961</v>
      </c>
      <c r="T35" s="166">
        <v>396524</v>
      </c>
      <c r="U35" s="165">
        <f t="shared" si="3"/>
        <v>13929.986485055129</v>
      </c>
      <c r="V35" s="169">
        <v>0.47010000000000002</v>
      </c>
      <c r="W35" s="168">
        <v>8.82</v>
      </c>
      <c r="X35" s="169">
        <v>-0.17499999999999999</v>
      </c>
      <c r="Y35" s="172">
        <v>0.30120000000000002</v>
      </c>
      <c r="Z35" s="176">
        <v>0.85880000000000001</v>
      </c>
      <c r="AA35" s="173">
        <v>0.83295125956478289</v>
      </c>
      <c r="AB35" s="177">
        <v>15.71</v>
      </c>
      <c r="AC35" s="172">
        <v>0.46700000000000003</v>
      </c>
      <c r="AD35" s="176">
        <v>0.36199999999999999</v>
      </c>
      <c r="AE35" s="175">
        <v>2247</v>
      </c>
      <c r="AF35" s="174">
        <v>3.6</v>
      </c>
      <c r="AG35" s="178">
        <v>160590</v>
      </c>
      <c r="AH35" s="178">
        <v>148506</v>
      </c>
      <c r="AI35" s="178">
        <v>-12084</v>
      </c>
      <c r="AJ35" s="179">
        <v>-7.5247526168823242E-2</v>
      </c>
      <c r="AK35" s="178">
        <v>17511.000213623047</v>
      </c>
      <c r="AL35" s="178">
        <v>16409.333262443542</v>
      </c>
      <c r="AM35" s="178">
        <v>14437.333269119263</v>
      </c>
      <c r="AN35" s="179">
        <v>0.32946908473968506</v>
      </c>
      <c r="AO35" s="179">
        <v>0.60467618703842163</v>
      </c>
      <c r="AP35" s="179">
        <v>0.44403398036956787</v>
      </c>
      <c r="AQ35" s="179">
        <v>0.68600000000000005</v>
      </c>
      <c r="AR35" s="179">
        <v>0.83899999999999997</v>
      </c>
      <c r="AS35" s="179">
        <v>0.56000000000000005</v>
      </c>
      <c r="AT35" s="180">
        <v>56921356</v>
      </c>
      <c r="AU35" s="180">
        <v>4606086596</v>
      </c>
      <c r="AV35" s="179">
        <v>1.2E-2</v>
      </c>
      <c r="AW35" s="174" t="s">
        <v>136</v>
      </c>
      <c r="AX35" s="174" t="s">
        <v>60</v>
      </c>
      <c r="AY35" s="174" t="s">
        <v>118</v>
      </c>
      <c r="AZ35" s="174" t="s">
        <v>60</v>
      </c>
      <c r="BA35" s="174" t="s">
        <v>60</v>
      </c>
      <c r="BB35" s="174" t="s">
        <v>60</v>
      </c>
      <c r="BC35" s="174" t="s">
        <v>60</v>
      </c>
      <c r="BD35" s="174" t="s">
        <v>60</v>
      </c>
      <c r="BE35" s="174" t="s">
        <v>60</v>
      </c>
      <c r="BF35" s="49" t="s">
        <v>53</v>
      </c>
      <c r="BG35" s="49" t="s">
        <v>53</v>
      </c>
      <c r="BH35" s="23" t="s">
        <v>60</v>
      </c>
      <c r="BI35" s="49" t="s">
        <v>53</v>
      </c>
      <c r="BJ35" s="49" t="s">
        <v>53</v>
      </c>
      <c r="BK35" s="49" t="s">
        <v>53</v>
      </c>
      <c r="BL35" s="49" t="s">
        <v>809</v>
      </c>
    </row>
    <row r="36" spans="1:64" x14ac:dyDescent="0.3">
      <c r="A36" s="181" t="s">
        <v>137</v>
      </c>
      <c r="B36" s="181" t="s">
        <v>138</v>
      </c>
      <c r="C36" s="181" t="s">
        <v>307</v>
      </c>
      <c r="D36" s="181" t="s">
        <v>307</v>
      </c>
      <c r="E36" s="181">
        <v>383</v>
      </c>
      <c r="F36" s="181">
        <v>6</v>
      </c>
      <c r="G36" s="181">
        <v>1</v>
      </c>
      <c r="H36" s="181">
        <v>6901</v>
      </c>
      <c r="I36" s="181">
        <v>8</v>
      </c>
      <c r="J36" s="181">
        <v>0</v>
      </c>
      <c r="K36" s="181">
        <v>23375</v>
      </c>
      <c r="L36" s="182">
        <v>12265665</v>
      </c>
      <c r="M36" s="182">
        <v>11321225</v>
      </c>
      <c r="N36" s="182">
        <v>808311</v>
      </c>
      <c r="O36" s="182">
        <v>24395201</v>
      </c>
      <c r="P36" s="187">
        <f t="shared" si="2"/>
        <v>0.50279007744187065</v>
      </c>
      <c r="Q36" s="184">
        <v>7101</v>
      </c>
      <c r="R36" s="188">
        <f>'All Data'!$O35/'All Data'!$Q35</f>
        <v>2553.4394917039767</v>
      </c>
      <c r="S36" s="182">
        <v>391393275</v>
      </c>
      <c r="T36" s="183">
        <v>33421</v>
      </c>
      <c r="U36" s="182">
        <f t="shared" si="3"/>
        <v>11710.99832440681</v>
      </c>
      <c r="V36" s="186">
        <v>9.1200000000000003E-2</v>
      </c>
      <c r="W36" s="185">
        <v>7.61</v>
      </c>
      <c r="X36" s="186">
        <v>-0.27200000000000002</v>
      </c>
      <c r="Y36" s="189">
        <v>0.25629999999999997</v>
      </c>
      <c r="Z36" s="193">
        <v>0.48230000000000001</v>
      </c>
      <c r="AA36" s="190">
        <v>1.280935239574102</v>
      </c>
      <c r="AB36" s="194">
        <v>14.18</v>
      </c>
      <c r="AC36" s="189">
        <v>0.503</v>
      </c>
      <c r="AD36" s="193">
        <v>0.34300000000000003</v>
      </c>
      <c r="AE36" s="192">
        <v>1962</v>
      </c>
      <c r="AF36" s="191">
        <v>2.4</v>
      </c>
      <c r="AG36" s="196">
        <v>7348</v>
      </c>
      <c r="AH36" s="196">
        <v>6932</v>
      </c>
      <c r="AI36" s="196">
        <v>-416</v>
      </c>
      <c r="AJ36" s="197">
        <v>-5.6614045053720474E-2</v>
      </c>
      <c r="AK36" s="196">
        <v>2005.6666355133057</v>
      </c>
      <c r="AL36" s="196">
        <v>1197.0000095367432</v>
      </c>
      <c r="AM36" s="196">
        <v>133.99999618530273</v>
      </c>
      <c r="AN36" s="197">
        <v>0.45604121685028076</v>
      </c>
      <c r="AO36" s="197">
        <v>0.63909775018692017</v>
      </c>
      <c r="AP36" s="197">
        <v>0.35323384404182434</v>
      </c>
      <c r="AQ36" s="197">
        <v>0.60299999999999998</v>
      </c>
      <c r="AR36" s="197">
        <v>0.76100000000000001</v>
      </c>
      <c r="AS36" s="197">
        <v>0.46100000000000002</v>
      </c>
      <c r="AT36" s="198">
        <v>293265524</v>
      </c>
      <c r="AU36" s="198">
        <v>336710648</v>
      </c>
      <c r="AV36" s="197">
        <v>0.871</v>
      </c>
      <c r="AW36" s="191" t="s">
        <v>52</v>
      </c>
      <c r="AX36" s="191" t="s">
        <v>53</v>
      </c>
      <c r="AY36" s="191"/>
      <c r="AZ36" s="191" t="s">
        <v>60</v>
      </c>
      <c r="BA36" s="191" t="s">
        <v>60</v>
      </c>
      <c r="BB36" s="191" t="s">
        <v>53</v>
      </c>
      <c r="BC36" s="191" t="s">
        <v>60</v>
      </c>
      <c r="BD36" s="191" t="s">
        <v>60</v>
      </c>
      <c r="BE36" s="191" t="s">
        <v>53</v>
      </c>
      <c r="BF36" s="49" t="s">
        <v>53</v>
      </c>
      <c r="BG36" s="49" t="s">
        <v>53</v>
      </c>
      <c r="BI36" s="49" t="s">
        <v>53</v>
      </c>
      <c r="BJ36" s="49" t="s">
        <v>53</v>
      </c>
      <c r="BK36" s="49" t="s">
        <v>53</v>
      </c>
    </row>
    <row r="37" spans="1:64" ht="26" x14ac:dyDescent="0.3">
      <c r="A37" s="164" t="s">
        <v>139</v>
      </c>
      <c r="B37" s="164" t="s">
        <v>140</v>
      </c>
      <c r="C37" s="164" t="s">
        <v>307</v>
      </c>
      <c r="D37" s="164" t="s">
        <v>307</v>
      </c>
      <c r="E37" s="164">
        <v>6021</v>
      </c>
      <c r="F37" s="164">
        <v>42</v>
      </c>
      <c r="G37" s="164">
        <v>30</v>
      </c>
      <c r="H37" s="164">
        <v>134464</v>
      </c>
      <c r="I37" s="164">
        <v>17</v>
      </c>
      <c r="J37" s="164">
        <v>4</v>
      </c>
      <c r="K37" s="164">
        <v>195804</v>
      </c>
      <c r="L37" s="165">
        <v>113211719</v>
      </c>
      <c r="M37" s="165">
        <v>51269927</v>
      </c>
      <c r="N37" s="165">
        <v>4270019</v>
      </c>
      <c r="O37" s="165">
        <v>168751665</v>
      </c>
      <c r="P37" s="170">
        <f t="shared" si="2"/>
        <v>0.67087764141467876</v>
      </c>
      <c r="Q37" s="167">
        <v>120007</v>
      </c>
      <c r="R37" s="171">
        <f>'All Data'!$O36/'All Data'!$Q36</f>
        <v>3435.4599352203913</v>
      </c>
      <c r="S37" s="165">
        <v>2676189876</v>
      </c>
      <c r="T37" s="166">
        <v>355822</v>
      </c>
      <c r="U37" s="165">
        <f t="shared" si="3"/>
        <v>7521.1478660678658</v>
      </c>
      <c r="V37" s="169">
        <v>0.35099999999999998</v>
      </c>
      <c r="W37" s="168">
        <v>4.01</v>
      </c>
      <c r="X37" s="169">
        <v>-0.18</v>
      </c>
      <c r="Y37" s="172">
        <v>0.28570000000000001</v>
      </c>
      <c r="Z37" s="176">
        <v>0.76870000000000005</v>
      </c>
      <c r="AA37" s="173">
        <v>0.86367676166391316</v>
      </c>
      <c r="AB37" s="177">
        <v>13.85</v>
      </c>
      <c r="AC37" s="172">
        <v>0.42599999999999999</v>
      </c>
      <c r="AD37" s="176">
        <v>0.33</v>
      </c>
      <c r="AE37" s="175">
        <v>1485</v>
      </c>
      <c r="AF37" s="174">
        <v>4.3</v>
      </c>
      <c r="AG37" s="178">
        <v>133511</v>
      </c>
      <c r="AH37" s="178">
        <v>122462</v>
      </c>
      <c r="AI37" s="178">
        <v>-11049</v>
      </c>
      <c r="AJ37" s="179">
        <v>-8.2757227122783661E-2</v>
      </c>
      <c r="AK37" s="178">
        <v>19724.833366394043</v>
      </c>
      <c r="AL37" s="178">
        <v>13453.166600823402</v>
      </c>
      <c r="AM37" s="178">
        <v>10666.166794300079</v>
      </c>
      <c r="AN37" s="179">
        <v>0.2545606791973114</v>
      </c>
      <c r="AO37" s="179">
        <v>0.52933013439178467</v>
      </c>
      <c r="AP37" s="179">
        <v>0.43372344970703125</v>
      </c>
      <c r="AQ37" s="179">
        <v>0.65700000000000003</v>
      </c>
      <c r="AR37" s="179">
        <v>0.81599999999999995</v>
      </c>
      <c r="AS37" s="179">
        <v>0.437</v>
      </c>
      <c r="AT37" s="180">
        <v>1964108454</v>
      </c>
      <c r="AU37" s="180">
        <v>2293765202</v>
      </c>
      <c r="AV37" s="179">
        <v>0.85599999999999998</v>
      </c>
      <c r="AW37" s="174" t="s">
        <v>64</v>
      </c>
      <c r="AX37" s="174" t="s">
        <v>60</v>
      </c>
      <c r="AY37" s="174" t="s">
        <v>141</v>
      </c>
      <c r="AZ37" s="174" t="s">
        <v>60</v>
      </c>
      <c r="BA37" s="174" t="s">
        <v>60</v>
      </c>
      <c r="BB37" s="174" t="s">
        <v>53</v>
      </c>
      <c r="BC37" s="174" t="s">
        <v>60</v>
      </c>
      <c r="BD37" s="174" t="s">
        <v>60</v>
      </c>
      <c r="BE37" s="174" t="s">
        <v>60</v>
      </c>
      <c r="BF37" s="23" t="s">
        <v>60</v>
      </c>
      <c r="BG37" s="49" t="s">
        <v>53</v>
      </c>
      <c r="BH37" s="23" t="s">
        <v>60</v>
      </c>
      <c r="BI37" s="23" t="s">
        <v>60</v>
      </c>
      <c r="BJ37" s="49" t="s">
        <v>53</v>
      </c>
      <c r="BK37" s="49" t="s">
        <v>53</v>
      </c>
    </row>
    <row r="38" spans="1:64" x14ac:dyDescent="0.3">
      <c r="A38" s="181" t="s">
        <v>142</v>
      </c>
      <c r="B38" s="181" t="s">
        <v>143</v>
      </c>
      <c r="C38" s="181" t="s">
        <v>307</v>
      </c>
      <c r="D38" s="181" t="s">
        <v>307</v>
      </c>
      <c r="E38" s="181">
        <v>2000</v>
      </c>
      <c r="F38" s="181">
        <v>15</v>
      </c>
      <c r="G38" s="181">
        <v>10</v>
      </c>
      <c r="H38" s="181">
        <v>36048</v>
      </c>
      <c r="I38" s="181">
        <v>14</v>
      </c>
      <c r="J38" s="181">
        <v>7</v>
      </c>
      <c r="K38" s="181">
        <v>71869</v>
      </c>
      <c r="L38" s="182">
        <v>81518031</v>
      </c>
      <c r="M38" s="182">
        <v>17403389</v>
      </c>
      <c r="N38" s="182">
        <v>20070933</v>
      </c>
      <c r="O38" s="182">
        <v>118992353</v>
      </c>
      <c r="P38" s="187">
        <f t="shared" si="2"/>
        <v>0.6850694934993008</v>
      </c>
      <c r="Q38" s="184">
        <v>43941</v>
      </c>
      <c r="R38" s="188">
        <f>'All Data'!$O37/'All Data'!$Q37</f>
        <v>1406.1818477255492</v>
      </c>
      <c r="S38" s="182">
        <v>1051743064</v>
      </c>
      <c r="T38" s="183">
        <v>126579</v>
      </c>
      <c r="U38" s="182">
        <f t="shared" si="3"/>
        <v>8308.9854083220762</v>
      </c>
      <c r="V38" s="186">
        <v>0.14419999999999999</v>
      </c>
      <c r="W38" s="185">
        <v>4.58</v>
      </c>
      <c r="X38" s="186">
        <v>-0.36899999999999999</v>
      </c>
      <c r="Y38" s="189">
        <v>0.33650000000000002</v>
      </c>
      <c r="Z38" s="193">
        <v>0.66359999999999997</v>
      </c>
      <c r="AA38" s="190">
        <v>0.85515350005325952</v>
      </c>
      <c r="AB38" s="194">
        <v>12.7</v>
      </c>
      <c r="AC38" s="189">
        <v>0.36599999999999999</v>
      </c>
      <c r="AD38" s="193">
        <v>0.28000000000000003</v>
      </c>
      <c r="AE38" s="192">
        <v>2567</v>
      </c>
      <c r="AF38" s="191">
        <v>3.3</v>
      </c>
      <c r="AG38" s="196">
        <v>40026</v>
      </c>
      <c r="AH38" s="196">
        <v>34807</v>
      </c>
      <c r="AI38" s="196">
        <v>-5219</v>
      </c>
      <c r="AJ38" s="197">
        <v>-0.13039024174213409</v>
      </c>
      <c r="AK38" s="196">
        <v>8437.9999580383301</v>
      </c>
      <c r="AL38" s="196">
        <v>7029.333309173584</v>
      </c>
      <c r="AM38" s="196">
        <v>3811.6666202545166</v>
      </c>
      <c r="AN38" s="197">
        <v>0.27348503470420837</v>
      </c>
      <c r="AO38" s="197">
        <v>0.57473444938659668</v>
      </c>
      <c r="AP38" s="197">
        <v>0.37052908539772034</v>
      </c>
      <c r="AQ38" s="197">
        <v>0.54200000000000004</v>
      </c>
      <c r="AR38" s="197">
        <v>0.76300000000000001</v>
      </c>
      <c r="AS38" s="197">
        <v>0.66</v>
      </c>
      <c r="AT38" s="198">
        <v>29000000</v>
      </c>
      <c r="AU38" s="198">
        <v>915453592</v>
      </c>
      <c r="AV38" s="197">
        <v>3.2000000000000001E-2</v>
      </c>
      <c r="AW38" s="191" t="s">
        <v>52</v>
      </c>
      <c r="AX38" s="191"/>
      <c r="AY38" s="191"/>
      <c r="AZ38" s="191" t="s">
        <v>60</v>
      </c>
      <c r="BA38" s="191" t="s">
        <v>60</v>
      </c>
      <c r="BB38" s="191" t="s">
        <v>60</v>
      </c>
      <c r="BC38" s="191" t="s">
        <v>53</v>
      </c>
      <c r="BD38" s="191" t="s">
        <v>60</v>
      </c>
      <c r="BE38" s="191" t="s">
        <v>60</v>
      </c>
      <c r="BF38" s="49" t="s">
        <v>53</v>
      </c>
      <c r="BG38" s="23" t="s">
        <v>60</v>
      </c>
      <c r="BH38" s="49" t="s">
        <v>53</v>
      </c>
      <c r="BI38" s="49" t="s">
        <v>53</v>
      </c>
      <c r="BJ38" s="49" t="s">
        <v>53</v>
      </c>
      <c r="BK38" s="49" t="s">
        <v>53</v>
      </c>
    </row>
    <row r="39" spans="1:64" x14ac:dyDescent="0.3">
      <c r="A39" s="164" t="s">
        <v>144</v>
      </c>
      <c r="B39" s="164" t="s">
        <v>145</v>
      </c>
      <c r="C39" s="164" t="s">
        <v>311</v>
      </c>
      <c r="D39" s="164" t="s">
        <v>311</v>
      </c>
      <c r="E39" s="164">
        <v>2231</v>
      </c>
      <c r="F39" s="164">
        <v>17</v>
      </c>
      <c r="G39" s="164">
        <v>16</v>
      </c>
      <c r="H39" s="164">
        <v>44384</v>
      </c>
      <c r="I39" s="164">
        <v>9</v>
      </c>
      <c r="J39" s="164">
        <v>0</v>
      </c>
      <c r="K39" s="164">
        <v>66864</v>
      </c>
      <c r="L39" s="165">
        <v>121564769</v>
      </c>
      <c r="M39" s="165">
        <v>10271460</v>
      </c>
      <c r="N39" s="165">
        <v>125683658</v>
      </c>
      <c r="O39" s="165">
        <v>257519887</v>
      </c>
      <c r="P39" s="170">
        <f t="shared" si="2"/>
        <v>0.47205973261397088</v>
      </c>
      <c r="Q39" s="167">
        <v>39149</v>
      </c>
      <c r="R39" s="171">
        <f>'All Data'!$O38/'All Data'!$Q38</f>
        <v>2708.0028447236068</v>
      </c>
      <c r="S39" s="165">
        <v>1375461916</v>
      </c>
      <c r="T39" s="166">
        <v>124645</v>
      </c>
      <c r="U39" s="165">
        <f t="shared" si="3"/>
        <v>11035.034826908421</v>
      </c>
      <c r="V39" s="169">
        <v>1.0676000000000001</v>
      </c>
      <c r="W39" s="168">
        <v>5.13</v>
      </c>
      <c r="X39" s="169">
        <v>-2.9000000000000001E-2</v>
      </c>
      <c r="Y39" s="172">
        <v>0.29949999999999999</v>
      </c>
      <c r="Z39" s="176">
        <v>0.78059999999999996</v>
      </c>
      <c r="AA39" s="173">
        <v>0.79353871191182312</v>
      </c>
      <c r="AB39" s="177">
        <v>15.15</v>
      </c>
      <c r="AC39" s="172">
        <v>0.46400000000000002</v>
      </c>
      <c r="AD39" s="176">
        <v>0.37</v>
      </c>
      <c r="AE39" s="175">
        <v>2495</v>
      </c>
      <c r="AF39" s="174">
        <v>4.2</v>
      </c>
      <c r="AG39" s="178">
        <v>57883</v>
      </c>
      <c r="AH39" s="178">
        <v>43778</v>
      </c>
      <c r="AI39" s="178">
        <v>-14105</v>
      </c>
      <c r="AJ39" s="179">
        <v>-0.24368122220039368</v>
      </c>
      <c r="AK39" s="178">
        <v>9554.6667518615723</v>
      </c>
      <c r="AL39" s="178">
        <v>8610.6667289733887</v>
      </c>
      <c r="AM39" s="178">
        <v>6004.3333225250244</v>
      </c>
      <c r="AN39" s="179">
        <v>0.21706670522689819</v>
      </c>
      <c r="AO39" s="179">
        <v>0.55400276184082031</v>
      </c>
      <c r="AP39" s="179">
        <v>0.37489590048789978</v>
      </c>
      <c r="AQ39" s="179">
        <v>0.63800000000000001</v>
      </c>
      <c r="AR39" s="179">
        <v>0.81299999999999994</v>
      </c>
      <c r="AS39" s="179">
        <v>0.61299999999999999</v>
      </c>
      <c r="AT39" s="180">
        <v>246355261</v>
      </c>
      <c r="AU39" s="180">
        <v>1069767410</v>
      </c>
      <c r="AV39" s="179">
        <v>0.23</v>
      </c>
      <c r="AW39" s="174" t="s">
        <v>52</v>
      </c>
      <c r="AX39" s="174" t="s">
        <v>60</v>
      </c>
      <c r="AY39" s="174" t="s">
        <v>80</v>
      </c>
      <c r="AZ39" s="174" t="s">
        <v>53</v>
      </c>
      <c r="BA39" s="174" t="s">
        <v>60</v>
      </c>
      <c r="BB39" s="174" t="s">
        <v>60</v>
      </c>
      <c r="BC39" s="174" t="s">
        <v>60</v>
      </c>
      <c r="BD39" s="174" t="s">
        <v>53</v>
      </c>
      <c r="BE39" s="174" t="s">
        <v>60</v>
      </c>
      <c r="BF39" s="23" t="s">
        <v>60</v>
      </c>
      <c r="BG39" s="49" t="s">
        <v>53</v>
      </c>
      <c r="BH39" s="49" t="s">
        <v>53</v>
      </c>
      <c r="BI39" s="49" t="s">
        <v>53</v>
      </c>
      <c r="BJ39" s="49" t="s">
        <v>53</v>
      </c>
      <c r="BK39" s="49" t="s">
        <v>53</v>
      </c>
      <c r="BL39" s="49" t="s">
        <v>809</v>
      </c>
    </row>
    <row r="40" spans="1:64" ht="26" x14ac:dyDescent="0.3">
      <c r="A40" s="181" t="s">
        <v>146</v>
      </c>
      <c r="B40" s="181" t="s">
        <v>147</v>
      </c>
      <c r="C40" s="181" t="s">
        <v>311</v>
      </c>
      <c r="D40" s="181" t="s">
        <v>324</v>
      </c>
      <c r="E40" s="181">
        <v>6679</v>
      </c>
      <c r="F40" s="181">
        <v>20</v>
      </c>
      <c r="G40" s="181">
        <v>14</v>
      </c>
      <c r="H40" s="181">
        <v>67837</v>
      </c>
      <c r="I40" s="181">
        <v>37</v>
      </c>
      <c r="J40" s="181">
        <v>20</v>
      </c>
      <c r="K40" s="181">
        <v>192977</v>
      </c>
      <c r="L40" s="182">
        <v>390832918</v>
      </c>
      <c r="M40" s="182">
        <v>5954842</v>
      </c>
      <c r="N40" s="182">
        <v>48067762</v>
      </c>
      <c r="O40" s="182">
        <v>444855522</v>
      </c>
      <c r="P40" s="187">
        <f t="shared" si="2"/>
        <v>0.87856146247859768</v>
      </c>
      <c r="Q40" s="184">
        <v>125585</v>
      </c>
      <c r="R40" s="188">
        <f>'All Data'!$O39/'All Data'!$Q39</f>
        <v>6577.9429104191677</v>
      </c>
      <c r="S40" s="182">
        <v>2197943952</v>
      </c>
      <c r="T40" s="183">
        <v>293801</v>
      </c>
      <c r="U40" s="182">
        <f t="shared" si="3"/>
        <v>7481.0635498177335</v>
      </c>
      <c r="V40" s="186">
        <v>0.53690000000000004</v>
      </c>
      <c r="W40" s="185">
        <v>2.41</v>
      </c>
      <c r="X40" s="186">
        <v>-0.223</v>
      </c>
      <c r="Y40" s="189">
        <v>0.3</v>
      </c>
      <c r="Z40" s="193">
        <v>0.77980000000000005</v>
      </c>
      <c r="AA40" s="190">
        <v>1.0076658969177252</v>
      </c>
      <c r="AB40" s="194">
        <v>12.75</v>
      </c>
      <c r="AC40" s="189">
        <v>0.46899999999999997</v>
      </c>
      <c r="AD40" s="193">
        <v>0.372</v>
      </c>
      <c r="AE40" s="192">
        <v>3355</v>
      </c>
      <c r="AF40" s="191">
        <v>3.6</v>
      </c>
      <c r="AG40" s="196">
        <v>84706</v>
      </c>
      <c r="AH40" s="196">
        <v>64882</v>
      </c>
      <c r="AI40" s="196">
        <v>-19824</v>
      </c>
      <c r="AJ40" s="197">
        <v>-0.23403300344944</v>
      </c>
      <c r="AK40" s="196">
        <v>12971.666732788086</v>
      </c>
      <c r="AL40" s="196">
        <v>11676.833304405212</v>
      </c>
      <c r="AM40" s="196">
        <v>9051.5000605583191</v>
      </c>
      <c r="AN40" s="197">
        <v>0.25477322936058044</v>
      </c>
      <c r="AO40" s="197">
        <v>0.60891222953796387</v>
      </c>
      <c r="AP40" s="197">
        <v>0.42007771134376526</v>
      </c>
      <c r="AQ40" s="197">
        <v>0.60699999999999998</v>
      </c>
      <c r="AR40" s="197">
        <v>0.82099999999999995</v>
      </c>
      <c r="AS40" s="197">
        <v>0.49199999999999999</v>
      </c>
      <c r="AT40" s="198">
        <v>0</v>
      </c>
      <c r="AU40" s="198">
        <v>1738585157</v>
      </c>
      <c r="AV40" s="197">
        <v>0</v>
      </c>
      <c r="AW40" s="191" t="s">
        <v>64</v>
      </c>
      <c r="AX40" s="191" t="s">
        <v>53</v>
      </c>
      <c r="AY40" s="191"/>
      <c r="AZ40" s="191" t="s">
        <v>53</v>
      </c>
      <c r="BA40" s="191" t="s">
        <v>53</v>
      </c>
      <c r="BB40" s="191" t="s">
        <v>53</v>
      </c>
      <c r="BC40" s="191" t="s">
        <v>60</v>
      </c>
      <c r="BD40" s="191" t="s">
        <v>60</v>
      </c>
      <c r="BE40" s="191" t="s">
        <v>60</v>
      </c>
      <c r="BF40" s="49" t="s">
        <v>53</v>
      </c>
      <c r="BG40" s="23" t="s">
        <v>60</v>
      </c>
      <c r="BH40" s="49" t="s">
        <v>53</v>
      </c>
      <c r="BI40" s="49" t="s">
        <v>53</v>
      </c>
      <c r="BJ40" s="49" t="s">
        <v>53</v>
      </c>
      <c r="BK40" s="49" t="s">
        <v>53</v>
      </c>
    </row>
    <row r="41" spans="1:64" x14ac:dyDescent="0.3">
      <c r="A41" s="164" t="s">
        <v>148</v>
      </c>
      <c r="B41" s="164" t="s">
        <v>149</v>
      </c>
      <c r="C41" s="164" t="s">
        <v>311</v>
      </c>
      <c r="D41" s="164" t="s">
        <v>311</v>
      </c>
      <c r="E41" s="164">
        <v>576</v>
      </c>
      <c r="F41" s="164">
        <v>1</v>
      </c>
      <c r="G41" s="164">
        <v>1</v>
      </c>
      <c r="H41" s="164">
        <v>8381</v>
      </c>
      <c r="I41" s="164">
        <v>2</v>
      </c>
      <c r="J41" s="164">
        <v>0</v>
      </c>
      <c r="K41" s="164">
        <v>18623</v>
      </c>
      <c r="L41" s="165">
        <v>9438481</v>
      </c>
      <c r="M41" s="165"/>
      <c r="N41" s="165"/>
      <c r="O41" s="165">
        <v>9438481</v>
      </c>
      <c r="P41" s="170">
        <f t="shared" si="2"/>
        <v>1</v>
      </c>
      <c r="Q41" s="167">
        <v>9638</v>
      </c>
      <c r="R41" s="171">
        <f>'All Data'!$O40/'All Data'!$Q40</f>
        <v>3542.2663693912491</v>
      </c>
      <c r="S41" s="165">
        <v>229117084</v>
      </c>
      <c r="T41" s="166">
        <v>28491</v>
      </c>
      <c r="U41" s="165">
        <f t="shared" si="3"/>
        <v>8041.7354252220002</v>
      </c>
      <c r="V41" s="169">
        <v>0.57320000000000004</v>
      </c>
      <c r="W41" s="168">
        <v>3.21</v>
      </c>
      <c r="X41" s="169">
        <v>-7.0000000000000007E-2</v>
      </c>
      <c r="Y41" s="172">
        <v>0.31430000000000002</v>
      </c>
      <c r="Z41" s="176">
        <v>0.69699999999999995</v>
      </c>
      <c r="AA41" s="173">
        <v>0.90212467710008548</v>
      </c>
      <c r="AB41" s="177">
        <v>11.27</v>
      </c>
      <c r="AC41" s="172">
        <v>0.47199999999999998</v>
      </c>
      <c r="AD41" s="176">
        <v>0.38900000000000001</v>
      </c>
      <c r="AE41" s="175">
        <v>1992</v>
      </c>
      <c r="AF41" s="174">
        <v>4.3</v>
      </c>
      <c r="AG41" s="178">
        <v>9333</v>
      </c>
      <c r="AH41" s="178">
        <v>8195</v>
      </c>
      <c r="AI41" s="178">
        <v>-1138</v>
      </c>
      <c r="AJ41" s="179">
        <v>-0.12193292379379272</v>
      </c>
      <c r="AK41" s="178">
        <v>2641</v>
      </c>
      <c r="AL41" s="178">
        <v>2482.333251953125</v>
      </c>
      <c r="AM41" s="178">
        <v>805.33331298828125</v>
      </c>
      <c r="AN41" s="179">
        <v>0.24851696193218231</v>
      </c>
      <c r="AO41" s="179">
        <v>0.56237411499023438</v>
      </c>
      <c r="AP41" s="179">
        <v>0.36672186851501465</v>
      </c>
      <c r="AQ41" s="179">
        <v>0.63800000000000001</v>
      </c>
      <c r="AR41" s="179">
        <v>0.82899999999999996</v>
      </c>
      <c r="AS41" s="179">
        <v>0.5</v>
      </c>
      <c r="AT41" s="180">
        <v>0</v>
      </c>
      <c r="AU41" s="180">
        <v>244873113</v>
      </c>
      <c r="AV41" s="179">
        <v>0</v>
      </c>
      <c r="AW41" s="174" t="s">
        <v>52</v>
      </c>
      <c r="AX41" s="191" t="s">
        <v>53</v>
      </c>
      <c r="AY41" s="174"/>
      <c r="AZ41" s="174" t="s">
        <v>53</v>
      </c>
      <c r="BA41" s="174" t="s">
        <v>53</v>
      </c>
      <c r="BB41" s="174" t="s">
        <v>60</v>
      </c>
      <c r="BC41" s="174" t="s">
        <v>60</v>
      </c>
      <c r="BD41" s="174" t="s">
        <v>53</v>
      </c>
      <c r="BE41" s="174" t="s">
        <v>60</v>
      </c>
      <c r="BF41" s="49" t="s">
        <v>53</v>
      </c>
      <c r="BG41" s="49" t="s">
        <v>53</v>
      </c>
      <c r="BH41" s="49" t="s">
        <v>53</v>
      </c>
      <c r="BI41" s="49" t="s">
        <v>53</v>
      </c>
      <c r="BJ41" s="49" t="s">
        <v>53</v>
      </c>
      <c r="BK41" s="49" t="s">
        <v>53</v>
      </c>
    </row>
    <row r="42" spans="1:64" ht="26" x14ac:dyDescent="0.3">
      <c r="A42" s="181" t="s">
        <v>150</v>
      </c>
      <c r="B42" s="181" t="s">
        <v>151</v>
      </c>
      <c r="C42" s="181" t="s">
        <v>307</v>
      </c>
      <c r="D42" s="181" t="s">
        <v>307</v>
      </c>
      <c r="E42" s="181">
        <v>2649</v>
      </c>
      <c r="F42" s="181">
        <v>20</v>
      </c>
      <c r="G42" s="181">
        <v>18</v>
      </c>
      <c r="H42" s="181">
        <v>55749</v>
      </c>
      <c r="I42" s="181">
        <v>13</v>
      </c>
      <c r="J42" s="181">
        <v>1</v>
      </c>
      <c r="K42" s="181">
        <v>93221</v>
      </c>
      <c r="L42" s="182">
        <v>130405086</v>
      </c>
      <c r="M42" s="182">
        <v>350255011</v>
      </c>
      <c r="N42" s="182">
        <v>4043331</v>
      </c>
      <c r="O42" s="182">
        <v>484703428</v>
      </c>
      <c r="P42" s="187">
        <v>0.27</v>
      </c>
      <c r="Q42" s="184">
        <v>50247</v>
      </c>
      <c r="R42" s="188">
        <f>'All Data'!$O41/'All Data'!$Q41</f>
        <v>979.298713426022</v>
      </c>
      <c r="S42" s="182">
        <v>1590891995</v>
      </c>
      <c r="T42" s="183">
        <v>173961</v>
      </c>
      <c r="U42" s="182">
        <f t="shared" si="3"/>
        <v>9145.1072079374117</v>
      </c>
      <c r="V42" s="186">
        <v>0.67230000000000001</v>
      </c>
      <c r="W42" s="185">
        <v>5.34</v>
      </c>
      <c r="X42" s="186">
        <v>-7.0999999999999994E-2</v>
      </c>
      <c r="Y42" s="189">
        <v>0.3301</v>
      </c>
      <c r="Z42" s="193">
        <v>0.72529999999999994</v>
      </c>
      <c r="AA42" s="190">
        <v>1.0909373681154868</v>
      </c>
      <c r="AB42" s="194">
        <v>12.39</v>
      </c>
      <c r="AC42" s="189">
        <v>0.42799999999999999</v>
      </c>
      <c r="AD42" s="193">
        <v>0.32400000000000001</v>
      </c>
      <c r="AE42" s="192">
        <v>1839</v>
      </c>
      <c r="AF42" s="191">
        <v>4.0999999999999996</v>
      </c>
      <c r="AG42" s="196">
        <v>57574</v>
      </c>
      <c r="AH42" s="196">
        <v>58336</v>
      </c>
      <c r="AI42" s="196">
        <v>762</v>
      </c>
      <c r="AJ42" s="197">
        <v>1.3235140591859818E-2</v>
      </c>
      <c r="AK42" s="196">
        <v>11990.333549499512</v>
      </c>
      <c r="AL42" s="196">
        <v>9825.3333587646484</v>
      </c>
      <c r="AM42" s="196">
        <v>3582.0000550746918</v>
      </c>
      <c r="AN42" s="197">
        <v>0.24956214427947998</v>
      </c>
      <c r="AO42" s="197">
        <v>0.5145881175994873</v>
      </c>
      <c r="AP42" s="197">
        <v>0.34496554732322693</v>
      </c>
      <c r="AQ42" s="197">
        <v>0.66100000000000003</v>
      </c>
      <c r="AR42" s="197">
        <v>0.81599999999999995</v>
      </c>
      <c r="AS42" s="197">
        <v>0.247</v>
      </c>
      <c r="AT42" s="198">
        <v>7000000</v>
      </c>
      <c r="AU42" s="198">
        <v>1119080042</v>
      </c>
      <c r="AV42" s="197">
        <v>6.0000000000000001E-3</v>
      </c>
      <c r="AW42" s="191" t="s">
        <v>52</v>
      </c>
      <c r="AX42" s="174" t="s">
        <v>60</v>
      </c>
      <c r="AY42" s="191" t="s">
        <v>152</v>
      </c>
      <c r="AZ42" s="191" t="s">
        <v>60</v>
      </c>
      <c r="BA42" s="191" t="s">
        <v>53</v>
      </c>
      <c r="BB42" s="191" t="s">
        <v>60</v>
      </c>
      <c r="BC42" s="191" t="s">
        <v>60</v>
      </c>
      <c r="BD42" s="191" t="s">
        <v>60</v>
      </c>
      <c r="BE42" s="191" t="s">
        <v>60</v>
      </c>
      <c r="BF42" s="49" t="s">
        <v>53</v>
      </c>
      <c r="BG42" s="49" t="s">
        <v>53</v>
      </c>
      <c r="BH42" s="49" t="s">
        <v>53</v>
      </c>
      <c r="BI42" s="49" t="s">
        <v>53</v>
      </c>
      <c r="BJ42" s="49" t="s">
        <v>53</v>
      </c>
      <c r="BK42" s="49" t="s">
        <v>53</v>
      </c>
    </row>
    <row r="43" spans="1:64" x14ac:dyDescent="0.3">
      <c r="A43" s="164" t="s">
        <v>153</v>
      </c>
      <c r="B43" s="164" t="s">
        <v>154</v>
      </c>
      <c r="C43" s="164" t="s">
        <v>307</v>
      </c>
      <c r="D43" s="164" t="s">
        <v>307</v>
      </c>
      <c r="E43" s="164">
        <v>438</v>
      </c>
      <c r="F43" s="164">
        <v>4</v>
      </c>
      <c r="G43" s="164">
        <v>0</v>
      </c>
      <c r="H43" s="164">
        <v>5861</v>
      </c>
      <c r="I43" s="164">
        <v>9</v>
      </c>
      <c r="J43" s="164">
        <v>2</v>
      </c>
      <c r="K43" s="164">
        <v>22656</v>
      </c>
      <c r="L43" s="165">
        <v>212666</v>
      </c>
      <c r="M43" s="165">
        <v>5529450</v>
      </c>
      <c r="N43" s="165"/>
      <c r="O43" s="165">
        <v>5742116</v>
      </c>
      <c r="P43" s="170">
        <f>L43/O43</f>
        <v>3.7036172727963002E-2</v>
      </c>
      <c r="Q43" s="167">
        <v>8661</v>
      </c>
      <c r="R43" s="171">
        <f>'All Data'!$O42/'All Data'!$Q42</f>
        <v>9646.4152685732479</v>
      </c>
      <c r="S43" s="165">
        <v>319955552</v>
      </c>
      <c r="T43" s="166">
        <v>31239</v>
      </c>
      <c r="U43" s="165">
        <f t="shared" si="3"/>
        <v>10242.18291238516</v>
      </c>
      <c r="V43" s="169">
        <v>0.67949999999999999</v>
      </c>
      <c r="W43" s="168">
        <v>4.62</v>
      </c>
      <c r="X43" s="169">
        <v>-7.1999999999999995E-2</v>
      </c>
      <c r="Y43" s="172">
        <v>0.27400000000000002</v>
      </c>
      <c r="Z43" s="176">
        <v>0.50680000000000003</v>
      </c>
      <c r="AA43" s="173">
        <v>1.165687641425339</v>
      </c>
      <c r="AB43" s="177">
        <v>10.78</v>
      </c>
      <c r="AC43" s="172">
        <v>0.46800000000000003</v>
      </c>
      <c r="AD43" s="176">
        <v>0.32700000000000001</v>
      </c>
      <c r="AE43" s="175">
        <v>1878</v>
      </c>
      <c r="AF43" s="174">
        <v>1.8</v>
      </c>
      <c r="AG43" s="178">
        <v>5911</v>
      </c>
      <c r="AH43" s="178">
        <v>5918</v>
      </c>
      <c r="AI43" s="178">
        <v>7</v>
      </c>
      <c r="AJ43" s="179">
        <v>1.1842327658087015E-3</v>
      </c>
      <c r="AK43" s="178">
        <v>1588</v>
      </c>
      <c r="AL43" s="178">
        <v>1705.3332977294922</v>
      </c>
      <c r="AM43" s="178">
        <v>255.99999523162842</v>
      </c>
      <c r="AN43" s="179">
        <v>0.63937866687774658</v>
      </c>
      <c r="AO43" s="179">
        <v>0.75449573993682861</v>
      </c>
      <c r="AP43" s="179">
        <v>0.62109375</v>
      </c>
      <c r="AQ43" s="179">
        <v>0.56100000000000005</v>
      </c>
      <c r="AR43" s="179">
        <v>0.77</v>
      </c>
      <c r="AS43" s="179">
        <v>0.44700000000000001</v>
      </c>
      <c r="AT43" s="180">
        <v>0</v>
      </c>
      <c r="AU43" s="180">
        <v>277823080</v>
      </c>
      <c r="AV43" s="179">
        <v>0</v>
      </c>
      <c r="AW43" s="174" t="s">
        <v>52</v>
      </c>
      <c r="AX43" s="174"/>
      <c r="AY43" s="174"/>
      <c r="AZ43" s="174" t="s">
        <v>53</v>
      </c>
      <c r="BA43" s="174" t="s">
        <v>53</v>
      </c>
      <c r="BB43" s="174" t="s">
        <v>53</v>
      </c>
      <c r="BC43" s="174" t="s">
        <v>53</v>
      </c>
      <c r="BD43" s="174" t="s">
        <v>60</v>
      </c>
      <c r="BE43" s="174" t="s">
        <v>60</v>
      </c>
      <c r="BF43" s="49" t="s">
        <v>53</v>
      </c>
      <c r="BG43" s="49" t="s">
        <v>53</v>
      </c>
      <c r="BH43" s="49" t="s">
        <v>53</v>
      </c>
      <c r="BI43" s="49" t="s">
        <v>53</v>
      </c>
      <c r="BJ43" s="49" t="s">
        <v>53</v>
      </c>
      <c r="BK43" s="49" t="s">
        <v>53</v>
      </c>
    </row>
    <row r="44" spans="1:64" x14ac:dyDescent="0.3">
      <c r="A44" s="49" t="s">
        <v>178</v>
      </c>
      <c r="E44" s="150">
        <f ca="1">_xlfn.STDEV.S('All Data'!$E$2:$E$51)</f>
        <v>3924.0403322315115</v>
      </c>
      <c r="F44" s="150">
        <f ca="1">_xlfn.STDEV.S('All Data'!$F$2:$F$51)</f>
        <v>19.652075758877306</v>
      </c>
      <c r="G44" s="150">
        <f ca="1">_xlfn.STDEV.S('All Data'!$G$2:$G$51)</f>
        <v>11.728493126587413</v>
      </c>
      <c r="H44" s="150">
        <f ca="1">_xlfn.STDEV.S('All Data'!$H$2:$H$51)</f>
        <v>126146.8039519431</v>
      </c>
      <c r="I44" s="150">
        <f ca="1">_xlfn.STDEV.S('All Data'!$I$2:$I$51)</f>
        <v>9.1748547227557502</v>
      </c>
      <c r="J44" s="150">
        <f ca="1">_xlfn.STDEV.S('All Data'!$J$2:$J$51)</f>
        <v>3.2486103779547189</v>
      </c>
      <c r="K44" s="150">
        <f ca="1">_xlfn.STDEV.S('All Data'!$K$2:$K$51)</f>
        <v>113442.98974905268</v>
      </c>
      <c r="L44" s="55">
        <f ca="1">_xlfn.STDEV.S('All Data'!$L$2:$L$51)</f>
        <v>438791787.88619447</v>
      </c>
      <c r="M44" s="55">
        <f ca="1">_xlfn.STDEV.S('All Data'!$M$2:$M$51)</f>
        <v>186562022.04635182</v>
      </c>
      <c r="N44" s="55">
        <f ca="1">_xlfn.STDEV.S('All Data'!$N$2:$N$51)</f>
        <v>51392988.168173186</v>
      </c>
      <c r="O44" s="55">
        <f ca="1">_xlfn.STDEV.S('All Data'!$O$2:$O$51)</f>
        <v>476191817.51610017</v>
      </c>
      <c r="P44" s="149">
        <f ca="1">_xlfn.STDEV.S('All Data'!$P$2:$P$51)</f>
        <v>0.30687685123199643</v>
      </c>
      <c r="Q44" s="151">
        <f ca="1">_xlfn.STDEV.S('All Data'!$Q$2:$Q$51)</f>
        <v>82974.473820050742</v>
      </c>
      <c r="R44" s="55">
        <f ca="1">_xlfn.STDEV.S('All Data'!$R$2:$R$51)</f>
        <v>3016.4522372678634</v>
      </c>
      <c r="S44" s="55">
        <f ca="1">_xlfn.STDEV.S('All Data'!$S$2:$S$51)</f>
        <v>3810242740.283133</v>
      </c>
      <c r="T44" s="151">
        <f ca="1">_xlfn.STDEV.S('All Data'!$T$2:$T$51)</f>
        <v>261717.63410381417</v>
      </c>
      <c r="U44" s="55">
        <f ca="1">_xlfn.STDEV.S('All Data'!$U$2:$U$51)</f>
        <v>4851.5360162749712</v>
      </c>
      <c r="V44" s="149">
        <f ca="1">_xlfn.STDEV.S('All Data'!$V$2:$V$51)</f>
        <v>0.27594439902092704</v>
      </c>
      <c r="W44" s="60">
        <f ca="1">_xlfn.STDEV.S('All Data'!$W$2:$W$51)</f>
        <v>2.0237147596861096</v>
      </c>
      <c r="X44" s="149">
        <f ca="1">_xlfn.STDEV.S('All Data'!$X$2:$X$51)</f>
        <v>0.12607108458067195</v>
      </c>
      <c r="Y44" s="149">
        <f ca="1">_xlfn.STDEV.S('All Data'!$Y$2:$Y$51)</f>
        <v>4.8775236105454471E-2</v>
      </c>
      <c r="Z44" s="156">
        <f ca="1">_xlfn.STDEV.S('All Data'!$Z$2:$Z$51)</f>
        <v>0.15719411175813375</v>
      </c>
      <c r="AA44" s="150">
        <f ca="1">_xlfn.STDEV.S('All Data'!$AA$2:$AA$51)</f>
        <v>0.28009763991200426</v>
      </c>
      <c r="AB44" s="150">
        <f ca="1">_xlfn.STDEV.S('All Data'!$AB$2:$AB$51)</f>
        <v>4.2185480092233902</v>
      </c>
      <c r="AC44" s="149">
        <f ca="1">_xlfn.STDEV.S('All Data'!$AC$2:$AC$51)</f>
        <v>5.6156490529333997E-2</v>
      </c>
      <c r="AD44" s="156">
        <f ca="1">_xlfn.STDEV.S('All Data'!$AD$2:$AD$51)</f>
        <v>5.8319122078440616E-2</v>
      </c>
      <c r="AE44" s="150">
        <f ca="1">_xlfn.STDEV.S('All Data'!$AE$2:$AE$51)</f>
        <v>593.70374114106585</v>
      </c>
      <c r="AF44" s="150">
        <f ca="1">_xlfn.STDEV.S('All Data'!$AF$2:$AF$51)</f>
        <v>0.79659735559363543</v>
      </c>
      <c r="AG44" s="151">
        <f ca="1">_xlfn.STDEV.S('All Data'!$AG$2:$AG$51)</f>
        <v>144451.9975786657</v>
      </c>
      <c r="AH44" s="151">
        <f ca="1">_xlfn.STDEV.S('All Data'!$AH$2:$AH$51)</f>
        <v>123633.98633011131</v>
      </c>
      <c r="AI44" s="151">
        <f ca="1">_xlfn.STDEV.S('All Data'!$AI$2:$AI$51)</f>
        <v>23195.334770813333</v>
      </c>
      <c r="AJ44" s="149">
        <f ca="1">_xlfn.STDEV.S('All Data'!$AJ$2:$AJ$51)</f>
        <v>0.12579602941374241</v>
      </c>
      <c r="AK44" s="151">
        <f ca="1">_xlfn.STDEV.S('All Data'!$AK$2:$AK$51)</f>
        <v>18576.710109722128</v>
      </c>
      <c r="AL44" s="151">
        <f ca="1">_xlfn.STDEV.S('All Data'!$AL$2:$AL$51)</f>
        <v>14748.847091243419</v>
      </c>
      <c r="AM44" s="151">
        <f ca="1">_xlfn.STDEV.S('All Data'!$AM$2:$AM$51)</f>
        <v>11492.138691770351</v>
      </c>
      <c r="AN44" s="149">
        <f ca="1">_xlfn.STDEV.S('All Data'!$AN$2:$AN$51)</f>
        <v>8.378775306536769E-2</v>
      </c>
      <c r="AO44" s="149">
        <f ca="1">_xlfn.STDEV.S('All Data'!$AO$2:$AO$51)</f>
        <v>4.5274868806595793E-2</v>
      </c>
      <c r="AP44" s="149">
        <f ca="1">_xlfn.STDEV.S('All Data'!$AP$2:$AP$51)</f>
        <v>5.8250770490771035E-2</v>
      </c>
      <c r="AQ44" s="149">
        <f ca="1">_xlfn.STDEV.S('All Data'!$AQ$2:$AQ$51)</f>
        <v>7.6263335401296928E-2</v>
      </c>
      <c r="AR44" s="149">
        <f ca="1">_xlfn.STDEV.S('All Data'!$AR$2:$AR$51)</f>
        <v>4.4047863577184827E-2</v>
      </c>
      <c r="AS44" s="149">
        <f ca="1">_xlfn.STDEV.S('All Data'!$AS$2:$AS$51)</f>
        <v>0.10755118572577711</v>
      </c>
      <c r="AT44" s="159">
        <f ca="1">_xlfn.STDEV.S('All Data'!$AT$2:$AT$51)</f>
        <v>438873782.8657487</v>
      </c>
      <c r="AU44" s="159">
        <f ca="1">_xlfn.STDEV.S('All Data'!$AU$2:$AU$51)</f>
        <v>3354468632.3140788</v>
      </c>
      <c r="AV44" s="149">
        <f ca="1">_xlfn.STDEV.S('All Data'!$AV$2:$AV$51)</f>
        <v>0.26044726365016224</v>
      </c>
    </row>
    <row r="45" spans="1:64" ht="26" x14ac:dyDescent="0.3">
      <c r="A45" s="50" t="s">
        <v>155</v>
      </c>
      <c r="B45" s="50" t="s">
        <v>156</v>
      </c>
      <c r="C45" s="50" t="s">
        <v>307</v>
      </c>
      <c r="D45" s="50" t="s">
        <v>307</v>
      </c>
      <c r="E45" s="50">
        <v>3634</v>
      </c>
      <c r="F45" s="50">
        <v>13</v>
      </c>
      <c r="G45" s="50">
        <v>13</v>
      </c>
      <c r="H45" s="50">
        <v>47464</v>
      </c>
      <c r="I45" s="50">
        <v>11</v>
      </c>
      <c r="J45" s="50">
        <v>2</v>
      </c>
      <c r="K45" s="50">
        <v>99899</v>
      </c>
      <c r="L45" s="51">
        <v>138536592</v>
      </c>
      <c r="M45" s="51">
        <v>411507561</v>
      </c>
      <c r="N45" s="51">
        <v>22719917</v>
      </c>
      <c r="O45" s="51">
        <v>572764070</v>
      </c>
      <c r="P45" s="54">
        <f t="shared" ref="P45:P53" si="4">L45/O45</f>
        <v>0.24187374742273901</v>
      </c>
      <c r="Q45" s="22">
        <v>61813</v>
      </c>
      <c r="R45" s="55">
        <f>'All Data'!$O43/'All Data'!$Q43</f>
        <v>662.98533656621635</v>
      </c>
      <c r="S45" s="51">
        <v>2803826948</v>
      </c>
      <c r="T45" s="52">
        <v>179740</v>
      </c>
      <c r="U45" s="51">
        <f t="shared" ref="U45:U53" si="5">S45/T45</f>
        <v>15599.3487704462</v>
      </c>
      <c r="V45" s="205">
        <v>0.82840000000000003</v>
      </c>
      <c r="W45" s="53">
        <v>5.93</v>
      </c>
      <c r="X45" s="205">
        <v>7.0000000000000001E-3</v>
      </c>
      <c r="Y45" s="56">
        <v>0.29709999999999998</v>
      </c>
      <c r="Z45" s="206">
        <v>0.7157</v>
      </c>
      <c r="AA45" s="57">
        <v>0.87507770442351773</v>
      </c>
      <c r="AB45" s="207">
        <v>14.34</v>
      </c>
      <c r="AC45" s="56">
        <v>0.40200000000000002</v>
      </c>
      <c r="AD45" s="206">
        <v>0.31900000000000001</v>
      </c>
      <c r="AE45" s="208">
        <v>1940</v>
      </c>
      <c r="AF45" s="48">
        <v>3.4</v>
      </c>
      <c r="AG45" s="23">
        <v>56894</v>
      </c>
      <c r="AH45" s="23">
        <v>44924</v>
      </c>
      <c r="AI45" s="23">
        <v>-11970</v>
      </c>
      <c r="AJ45" s="59">
        <v>-0.21039125323295593</v>
      </c>
      <c r="AK45" s="23">
        <v>17179.66650390625</v>
      </c>
      <c r="AL45" s="23">
        <v>16082.333312988281</v>
      </c>
      <c r="AM45" s="23">
        <v>2137.333324432373</v>
      </c>
      <c r="AN45" s="59">
        <v>0.25794059038162231</v>
      </c>
      <c r="AO45" s="59">
        <v>0.51323401927947998</v>
      </c>
      <c r="AP45" s="59">
        <v>0.4072052538394928</v>
      </c>
      <c r="AQ45" s="59">
        <v>0.56000000000000005</v>
      </c>
      <c r="AR45" s="59">
        <v>0.77100000000000002</v>
      </c>
      <c r="AS45" s="59">
        <v>0.42899999999999999</v>
      </c>
      <c r="AT45" s="161">
        <v>1463876300</v>
      </c>
      <c r="AU45" s="161">
        <v>1801875513</v>
      </c>
      <c r="AV45" s="59">
        <v>0.81200000000000006</v>
      </c>
      <c r="AW45" s="48" t="s">
        <v>64</v>
      </c>
      <c r="AX45" s="174" t="s">
        <v>60</v>
      </c>
      <c r="AY45" s="48" t="s">
        <v>157</v>
      </c>
      <c r="AZ45" s="48" t="s">
        <v>60</v>
      </c>
      <c r="BA45" s="48" t="s">
        <v>60</v>
      </c>
      <c r="BB45" s="48" t="s">
        <v>60</v>
      </c>
      <c r="BC45" s="48" t="s">
        <v>60</v>
      </c>
      <c r="BD45" s="48" t="s">
        <v>60</v>
      </c>
      <c r="BE45" s="48" t="s">
        <v>60</v>
      </c>
      <c r="BF45" s="49" t="s">
        <v>53</v>
      </c>
      <c r="BG45" s="23" t="s">
        <v>60</v>
      </c>
      <c r="BH45" s="23" t="s">
        <v>60</v>
      </c>
      <c r="BI45" s="23"/>
      <c r="BJ45" s="49" t="s">
        <v>53</v>
      </c>
      <c r="BK45" s="49" t="s">
        <v>53</v>
      </c>
    </row>
    <row r="46" spans="1:64" x14ac:dyDescent="0.3">
      <c r="A46" s="164" t="s">
        <v>158</v>
      </c>
      <c r="B46" s="164" t="s">
        <v>159</v>
      </c>
      <c r="C46" s="164" t="s">
        <v>307</v>
      </c>
      <c r="D46" s="164" t="s">
        <v>307</v>
      </c>
      <c r="E46" s="164">
        <v>15391</v>
      </c>
      <c r="F46" s="164">
        <v>59</v>
      </c>
      <c r="G46" s="164">
        <v>35</v>
      </c>
      <c r="H46" s="164">
        <v>427816</v>
      </c>
      <c r="I46" s="164">
        <v>42</v>
      </c>
      <c r="J46" s="164">
        <v>7</v>
      </c>
      <c r="K46" s="164">
        <v>472564</v>
      </c>
      <c r="L46" s="165">
        <v>1179007312</v>
      </c>
      <c r="M46" s="165"/>
      <c r="N46" s="165">
        <v>154510663</v>
      </c>
      <c r="O46" s="165">
        <v>1333517975</v>
      </c>
      <c r="P46" s="170">
        <f t="shared" si="4"/>
        <v>0.88413304815032578</v>
      </c>
      <c r="Q46" s="167">
        <v>377367</v>
      </c>
      <c r="R46" s="171">
        <f ca="1">'All Data'!$O44/'All Data'!$Q44</f>
        <v>3533.742947846526</v>
      </c>
      <c r="S46" s="165">
        <v>11739100332</v>
      </c>
      <c r="T46" s="166">
        <v>1016020</v>
      </c>
      <c r="U46" s="165">
        <f t="shared" si="5"/>
        <v>11554.005169189582</v>
      </c>
      <c r="V46" s="169">
        <v>0.38469999999999999</v>
      </c>
      <c r="W46" s="168">
        <v>6.35</v>
      </c>
      <c r="X46" s="169">
        <v>-0.13500000000000001</v>
      </c>
      <c r="Y46" s="172">
        <v>0.35580000000000001</v>
      </c>
      <c r="Z46" s="176">
        <v>0.92190000000000005</v>
      </c>
      <c r="AA46" s="173">
        <v>1.0383027142324532</v>
      </c>
      <c r="AB46" s="177">
        <v>17.559999999999999</v>
      </c>
      <c r="AC46" s="172">
        <v>0.42</v>
      </c>
      <c r="AD46" s="176">
        <v>0.34</v>
      </c>
      <c r="AE46" s="175">
        <v>1525</v>
      </c>
      <c r="AF46" s="174">
        <v>4.0999999999999996</v>
      </c>
      <c r="AG46" s="178">
        <v>432182</v>
      </c>
      <c r="AH46" s="178">
        <v>421937</v>
      </c>
      <c r="AI46" s="178">
        <v>-10245</v>
      </c>
      <c r="AJ46" s="179">
        <v>-2.3705290630459785E-2</v>
      </c>
      <c r="AK46" s="178">
        <v>60547.666136741638</v>
      </c>
      <c r="AL46" s="178">
        <v>42101.833230018616</v>
      </c>
      <c r="AM46" s="178">
        <v>36464.833183288574</v>
      </c>
      <c r="AN46" s="179">
        <v>0.23392589390277863</v>
      </c>
      <c r="AO46" s="179">
        <v>0.5607990026473999</v>
      </c>
      <c r="AP46" s="179">
        <v>0.46736353635787964</v>
      </c>
      <c r="AQ46" s="179">
        <v>0.59099999999999997</v>
      </c>
      <c r="AR46" s="179">
        <v>0.80300000000000005</v>
      </c>
      <c r="AS46" s="179">
        <v>0.59399999999999997</v>
      </c>
      <c r="AT46" s="180">
        <v>1671912220</v>
      </c>
      <c r="AU46" s="180">
        <v>11518081129</v>
      </c>
      <c r="AV46" s="179">
        <v>0.14499999999999999</v>
      </c>
      <c r="AW46" s="174" t="s">
        <v>52</v>
      </c>
      <c r="AX46" s="174" t="s">
        <v>60</v>
      </c>
      <c r="AY46" s="174" t="s">
        <v>160</v>
      </c>
      <c r="AZ46" s="174" t="s">
        <v>60</v>
      </c>
      <c r="BA46" s="174" t="s">
        <v>60</v>
      </c>
      <c r="BB46" s="174" t="s">
        <v>53</v>
      </c>
      <c r="BC46" s="174" t="s">
        <v>60</v>
      </c>
      <c r="BD46" s="174" t="s">
        <v>60</v>
      </c>
      <c r="BE46" s="174" t="s">
        <v>53</v>
      </c>
      <c r="BF46" s="23" t="s">
        <v>60</v>
      </c>
      <c r="BG46" s="23" t="s">
        <v>60</v>
      </c>
      <c r="BH46" s="49" t="s">
        <v>53</v>
      </c>
      <c r="BI46" s="23" t="s">
        <v>60</v>
      </c>
      <c r="BJ46" s="23" t="s">
        <v>60</v>
      </c>
      <c r="BK46" s="49" t="s">
        <v>53</v>
      </c>
      <c r="BL46" s="49" t="s">
        <v>812</v>
      </c>
    </row>
    <row r="47" spans="1:64" x14ac:dyDescent="0.3">
      <c r="A47" s="181" t="s">
        <v>161</v>
      </c>
      <c r="B47" s="181" t="s">
        <v>162</v>
      </c>
      <c r="C47" s="181" t="s">
        <v>307</v>
      </c>
      <c r="D47" s="181" t="s">
        <v>307</v>
      </c>
      <c r="E47" s="181">
        <v>1616</v>
      </c>
      <c r="F47" s="181">
        <v>2</v>
      </c>
      <c r="G47" s="181">
        <v>1</v>
      </c>
      <c r="H47" s="181">
        <v>19167</v>
      </c>
      <c r="I47" s="181">
        <v>6</v>
      </c>
      <c r="J47" s="181">
        <v>0</v>
      </c>
      <c r="K47" s="181">
        <v>108192</v>
      </c>
      <c r="L47" s="182">
        <v>4994064</v>
      </c>
      <c r="M47" s="182">
        <v>9351867</v>
      </c>
      <c r="N47" s="182"/>
      <c r="O47" s="182">
        <v>14345931</v>
      </c>
      <c r="P47" s="187">
        <f t="shared" si="4"/>
        <v>0.34811710721318817</v>
      </c>
      <c r="Q47" s="184">
        <v>46110</v>
      </c>
      <c r="R47" s="188">
        <f>'All Data'!$O45/'All Data'!$Q45</f>
        <v>9266.0778477019394</v>
      </c>
      <c r="S47" s="182">
        <v>1514706700</v>
      </c>
      <c r="T47" s="183">
        <v>131056</v>
      </c>
      <c r="U47" s="182">
        <f t="shared" si="5"/>
        <v>11557.705866194603</v>
      </c>
      <c r="V47" s="186">
        <v>0.74709999999999999</v>
      </c>
      <c r="W47" s="185">
        <v>7.22</v>
      </c>
      <c r="X47" s="186">
        <v>-5.5E-2</v>
      </c>
      <c r="Y47" s="189">
        <v>0.1759</v>
      </c>
      <c r="Z47" s="193">
        <v>0.56789999999999996</v>
      </c>
      <c r="AA47" s="190">
        <v>1.355089847406983</v>
      </c>
      <c r="AB47" s="194">
        <v>20.57</v>
      </c>
      <c r="AC47" s="189">
        <v>0.47499999999999998</v>
      </c>
      <c r="AD47" s="193">
        <v>0.374</v>
      </c>
      <c r="AE47" s="192">
        <v>2303</v>
      </c>
      <c r="AF47" s="191">
        <v>3.2</v>
      </c>
      <c r="AG47" s="196">
        <v>20488</v>
      </c>
      <c r="AH47" s="196">
        <v>18388</v>
      </c>
      <c r="AI47" s="196">
        <v>-2100</v>
      </c>
      <c r="AJ47" s="197">
        <v>-0.10249902307987213</v>
      </c>
      <c r="AK47" s="196">
        <v>1757.3333339691162</v>
      </c>
      <c r="AL47" s="196">
        <v>2484.3333740234375</v>
      </c>
      <c r="AM47" s="196">
        <v>2183.333251953125</v>
      </c>
      <c r="AN47" s="197">
        <v>0.31411227583885193</v>
      </c>
      <c r="AO47" s="197">
        <v>0.57332617044448853</v>
      </c>
      <c r="AP47" s="197">
        <v>0.41404581069946289</v>
      </c>
      <c r="AQ47" s="197">
        <v>0.55200000000000005</v>
      </c>
      <c r="AR47" s="197">
        <v>0.746</v>
      </c>
      <c r="AS47" s="197">
        <v>0.45600000000000002</v>
      </c>
      <c r="AT47" s="198">
        <v>31434000</v>
      </c>
      <c r="AU47" s="198">
        <v>1657842588</v>
      </c>
      <c r="AV47" s="197">
        <v>1.9E-2</v>
      </c>
      <c r="AW47" s="191" t="s">
        <v>52</v>
      </c>
      <c r="AX47" s="191" t="s">
        <v>53</v>
      </c>
      <c r="AY47" s="191"/>
      <c r="AZ47" s="191" t="s">
        <v>60</v>
      </c>
      <c r="BA47" s="191" t="s">
        <v>60</v>
      </c>
      <c r="BB47" s="191" t="s">
        <v>53</v>
      </c>
      <c r="BC47" s="191" t="s">
        <v>60</v>
      </c>
      <c r="BD47" s="191" t="s">
        <v>53</v>
      </c>
      <c r="BE47" s="191" t="s">
        <v>60</v>
      </c>
      <c r="BF47" s="49" t="s">
        <v>53</v>
      </c>
      <c r="BG47" s="49" t="s">
        <v>53</v>
      </c>
      <c r="BH47" s="49" t="s">
        <v>53</v>
      </c>
      <c r="BI47" s="49" t="s">
        <v>53</v>
      </c>
      <c r="BJ47" s="49" t="s">
        <v>53</v>
      </c>
      <c r="BK47" s="49" t="s">
        <v>53</v>
      </c>
    </row>
    <row r="48" spans="1:64" x14ac:dyDescent="0.3">
      <c r="A48" s="164" t="s">
        <v>163</v>
      </c>
      <c r="B48" s="164" t="s">
        <v>164</v>
      </c>
      <c r="C48" s="164" t="s">
        <v>307</v>
      </c>
      <c r="D48" s="164" t="s">
        <v>311</v>
      </c>
      <c r="E48" s="164">
        <v>330</v>
      </c>
      <c r="F48" s="164">
        <v>2</v>
      </c>
      <c r="G48" s="164">
        <v>1</v>
      </c>
      <c r="H48" s="164">
        <v>4545</v>
      </c>
      <c r="I48" s="164">
        <v>3</v>
      </c>
      <c r="J48" s="164">
        <v>0</v>
      </c>
      <c r="K48" s="164">
        <v>14121</v>
      </c>
      <c r="L48" s="165">
        <v>25005581</v>
      </c>
      <c r="M48" s="165">
        <v>70145</v>
      </c>
      <c r="N48" s="165">
        <v>4704078</v>
      </c>
      <c r="O48" s="165">
        <v>29779804</v>
      </c>
      <c r="P48" s="170">
        <f t="shared" si="4"/>
        <v>0.83968252443837443</v>
      </c>
      <c r="Q48" s="167">
        <v>5006</v>
      </c>
      <c r="R48" s="171">
        <f>'All Data'!$O46/'All Data'!$Q46</f>
        <v>3533.742947846526</v>
      </c>
      <c r="S48" s="165">
        <v>128315277</v>
      </c>
      <c r="T48" s="166">
        <v>19769</v>
      </c>
      <c r="U48" s="165">
        <f t="shared" si="5"/>
        <v>6490.7318023167581</v>
      </c>
      <c r="V48" s="169">
        <v>0.497</v>
      </c>
      <c r="W48" s="168">
        <v>2.85</v>
      </c>
      <c r="X48" s="169">
        <v>-0.13100000000000001</v>
      </c>
      <c r="Y48" s="172">
        <v>0.28420000000000001</v>
      </c>
      <c r="Z48" s="176">
        <v>0.3906</v>
      </c>
      <c r="AA48" s="173">
        <v>0.60675929858625077</v>
      </c>
      <c r="AB48" s="177">
        <v>15.03</v>
      </c>
      <c r="AC48" s="172">
        <v>0.52100000000000002</v>
      </c>
      <c r="AD48" s="176">
        <v>0.43099999999999999</v>
      </c>
      <c r="AE48" s="175">
        <v>1611</v>
      </c>
      <c r="AF48" s="174">
        <v>2.2999999999999998</v>
      </c>
      <c r="AG48" s="178">
        <v>3947</v>
      </c>
      <c r="AH48" s="178">
        <v>6324</v>
      </c>
      <c r="AI48" s="178">
        <v>2377</v>
      </c>
      <c r="AJ48" s="179">
        <v>0.6022295355796814</v>
      </c>
      <c r="AK48" s="178">
        <v>521.00001525878906</v>
      </c>
      <c r="AL48" s="178">
        <v>247.33332824707031</v>
      </c>
      <c r="AM48" s="178">
        <v>531.99997973442078</v>
      </c>
      <c r="AN48" s="179">
        <v>0.40179142355918884</v>
      </c>
      <c r="AO48" s="179">
        <v>0.54312670230865479</v>
      </c>
      <c r="AP48" s="179">
        <v>0.33646616339683533</v>
      </c>
      <c r="AQ48" s="179">
        <v>0.69099999999999995</v>
      </c>
      <c r="AR48" s="179">
        <v>0.83</v>
      </c>
      <c r="AS48" s="179">
        <v>0.42299999999999999</v>
      </c>
      <c r="AT48" s="180">
        <v>0</v>
      </c>
      <c r="AU48" s="180">
        <v>97859906</v>
      </c>
      <c r="AV48" s="179">
        <v>0</v>
      </c>
      <c r="AW48" s="174" t="s">
        <v>52</v>
      </c>
      <c r="AX48" s="191" t="s">
        <v>53</v>
      </c>
      <c r="AY48" s="174"/>
      <c r="AZ48" s="174" t="s">
        <v>53</v>
      </c>
      <c r="BA48" s="174" t="s">
        <v>53</v>
      </c>
      <c r="BB48" s="174" t="s">
        <v>60</v>
      </c>
      <c r="BC48" s="174" t="s">
        <v>60</v>
      </c>
      <c r="BD48" s="174" t="s">
        <v>53</v>
      </c>
      <c r="BE48" s="174" t="s">
        <v>53</v>
      </c>
      <c r="BF48" s="49" t="s">
        <v>53</v>
      </c>
      <c r="BG48" s="23" t="s">
        <v>60</v>
      </c>
      <c r="BH48" s="49" t="s">
        <v>53</v>
      </c>
      <c r="BI48" s="49" t="s">
        <v>53</v>
      </c>
      <c r="BJ48" s="49" t="s">
        <v>53</v>
      </c>
      <c r="BK48" s="49" t="s">
        <v>53</v>
      </c>
    </row>
    <row r="49" spans="1:64" x14ac:dyDescent="0.3">
      <c r="A49" s="181" t="s">
        <v>165</v>
      </c>
      <c r="B49" s="181" t="s">
        <v>166</v>
      </c>
      <c r="C49" s="181" t="s">
        <v>307</v>
      </c>
      <c r="D49" s="181" t="s">
        <v>311</v>
      </c>
      <c r="E49" s="181">
        <v>4549</v>
      </c>
      <c r="F49" s="181">
        <v>24</v>
      </c>
      <c r="G49" s="181">
        <v>9</v>
      </c>
      <c r="H49" s="181">
        <v>89729</v>
      </c>
      <c r="I49" s="181">
        <v>15</v>
      </c>
      <c r="J49" s="181">
        <v>0</v>
      </c>
      <c r="K49" s="181">
        <v>163822</v>
      </c>
      <c r="L49" s="182">
        <v>686337750</v>
      </c>
      <c r="M49" s="182">
        <v>116151776</v>
      </c>
      <c r="N49" s="182">
        <v>225480636</v>
      </c>
      <c r="O49" s="182">
        <v>1027970162</v>
      </c>
      <c r="P49" s="187">
        <f t="shared" si="4"/>
        <v>0.66766310479739388</v>
      </c>
      <c r="Q49" s="184">
        <v>92627</v>
      </c>
      <c r="R49" s="188">
        <f>'All Data'!$O47/'All Data'!$Q47</f>
        <v>311.12407286922576</v>
      </c>
      <c r="S49" s="182">
        <v>3050284911</v>
      </c>
      <c r="T49" s="183">
        <v>292848</v>
      </c>
      <c r="U49" s="182">
        <f t="shared" si="5"/>
        <v>10415.93219349287</v>
      </c>
      <c r="V49" s="186">
        <v>0.85219999999999996</v>
      </c>
      <c r="W49" s="185">
        <v>4.6900000000000004</v>
      </c>
      <c r="X49" s="186">
        <v>0.09</v>
      </c>
      <c r="Y49" s="189">
        <v>0.311</v>
      </c>
      <c r="Z49" s="193">
        <v>0.96960000000000002</v>
      </c>
      <c r="AA49" s="190">
        <v>0.95846146710113977</v>
      </c>
      <c r="AB49" s="194">
        <v>16.03</v>
      </c>
      <c r="AC49" s="189">
        <v>0.51500000000000001</v>
      </c>
      <c r="AD49" s="193">
        <v>0.434</v>
      </c>
      <c r="AE49" s="192">
        <v>1835</v>
      </c>
      <c r="AF49" s="191">
        <v>2.9</v>
      </c>
      <c r="AG49" s="196">
        <v>100140</v>
      </c>
      <c r="AH49" s="196">
        <v>87056</v>
      </c>
      <c r="AI49" s="196">
        <v>-13084</v>
      </c>
      <c r="AJ49" s="197">
        <v>-0.13065707683563232</v>
      </c>
      <c r="AK49" s="196">
        <v>16059.000007629395</v>
      </c>
      <c r="AL49" s="196">
        <v>15147.000228881836</v>
      </c>
      <c r="AM49" s="196">
        <v>9923.6667804718018</v>
      </c>
      <c r="AN49" s="197">
        <v>0.35112190246582031</v>
      </c>
      <c r="AO49" s="197">
        <v>0.63370084762573242</v>
      </c>
      <c r="AP49" s="197">
        <v>0.4511101245880127</v>
      </c>
      <c r="AQ49" s="197">
        <v>0.73099999999999998</v>
      </c>
      <c r="AR49" s="197">
        <v>0.85699999999999998</v>
      </c>
      <c r="AS49" s="197">
        <v>0.621</v>
      </c>
      <c r="AT49" s="198">
        <v>0</v>
      </c>
      <c r="AU49" s="198">
        <v>2402471369</v>
      </c>
      <c r="AV49" s="197">
        <v>0</v>
      </c>
      <c r="AW49" s="191" t="s">
        <v>52</v>
      </c>
      <c r="AX49" s="191" t="s">
        <v>53</v>
      </c>
      <c r="AY49" s="191"/>
      <c r="AZ49" s="191" t="s">
        <v>53</v>
      </c>
      <c r="BA49" s="191" t="s">
        <v>53</v>
      </c>
      <c r="BB49" s="191" t="s">
        <v>60</v>
      </c>
      <c r="BC49" s="191" t="s">
        <v>60</v>
      </c>
      <c r="BD49" s="191" t="s">
        <v>60</v>
      </c>
      <c r="BE49" s="191" t="s">
        <v>60</v>
      </c>
      <c r="BF49" s="49" t="s">
        <v>53</v>
      </c>
      <c r="BG49" s="23" t="s">
        <v>60</v>
      </c>
      <c r="BH49" s="49" t="s">
        <v>53</v>
      </c>
      <c r="BI49" s="49" t="s">
        <v>53</v>
      </c>
      <c r="BJ49" s="49" t="s">
        <v>53</v>
      </c>
      <c r="BK49" s="49" t="s">
        <v>53</v>
      </c>
      <c r="BL49" s="49" t="s">
        <v>809</v>
      </c>
    </row>
    <row r="50" spans="1:64" ht="26" x14ac:dyDescent="0.3">
      <c r="A50" s="164" t="s">
        <v>167</v>
      </c>
      <c r="B50" s="164" t="s">
        <v>168</v>
      </c>
      <c r="C50" s="164" t="s">
        <v>311</v>
      </c>
      <c r="D50" s="164" t="s">
        <v>311</v>
      </c>
      <c r="E50" s="164">
        <v>4147</v>
      </c>
      <c r="F50" s="164">
        <v>33</v>
      </c>
      <c r="G50" s="164">
        <v>1</v>
      </c>
      <c r="H50" s="164">
        <v>117332</v>
      </c>
      <c r="I50" s="164">
        <v>9</v>
      </c>
      <c r="J50" s="164">
        <v>0</v>
      </c>
      <c r="K50" s="164">
        <v>96935</v>
      </c>
      <c r="L50" s="165">
        <v>509457351</v>
      </c>
      <c r="M50" s="165">
        <v>11738422</v>
      </c>
      <c r="N50" s="165">
        <v>8964720</v>
      </c>
      <c r="O50" s="165">
        <v>530160493</v>
      </c>
      <c r="P50" s="170">
        <f t="shared" si="4"/>
        <v>0.9609492931416902</v>
      </c>
      <c r="Q50" s="167">
        <v>68308</v>
      </c>
      <c r="R50" s="171">
        <f>'All Data'!$O48/'All Data'!$Q48</f>
        <v>5948.8222133439876</v>
      </c>
      <c r="S50" s="165">
        <v>2614648320</v>
      </c>
      <c r="T50" s="166">
        <v>204956</v>
      </c>
      <c r="U50" s="165">
        <f t="shared" si="5"/>
        <v>12757.120162376315</v>
      </c>
      <c r="V50" s="169">
        <v>1.0248999999999999</v>
      </c>
      <c r="W50" s="168">
        <v>4.25</v>
      </c>
      <c r="X50" s="169">
        <v>-6.4000000000000001E-2</v>
      </c>
      <c r="Y50" s="172">
        <v>0.2979</v>
      </c>
      <c r="Z50" s="176">
        <v>0.91339999999999999</v>
      </c>
      <c r="AA50" s="173">
        <v>0.88990071216173527</v>
      </c>
      <c r="AB50" s="177">
        <v>20.53</v>
      </c>
      <c r="AC50" s="172">
        <v>0.5</v>
      </c>
      <c r="AD50" s="176">
        <v>0.39800000000000002</v>
      </c>
      <c r="AE50" s="175">
        <v>1523</v>
      </c>
      <c r="AF50" s="174">
        <v>4.5</v>
      </c>
      <c r="AG50" s="178">
        <v>142026</v>
      </c>
      <c r="AH50" s="178">
        <v>110861</v>
      </c>
      <c r="AI50" s="178">
        <v>-31165</v>
      </c>
      <c r="AJ50" s="179">
        <v>-0.21943165361881256</v>
      </c>
      <c r="AK50" s="178">
        <v>14058.333438873291</v>
      </c>
      <c r="AL50" s="178">
        <v>2037.6666870117188</v>
      </c>
      <c r="AM50" s="178">
        <v>736.66666221618652</v>
      </c>
      <c r="AN50" s="179">
        <v>0.35637226700782776</v>
      </c>
      <c r="AO50" s="179">
        <v>0.61230164766311646</v>
      </c>
      <c r="AP50" s="179">
        <v>0.442533940076828</v>
      </c>
      <c r="AQ50" s="179">
        <v>0.67600000000000005</v>
      </c>
      <c r="AR50" s="179">
        <v>0.83099999999999996</v>
      </c>
      <c r="AS50" s="179">
        <v>0.57399999999999995</v>
      </c>
      <c r="AT50" s="180">
        <v>57267550</v>
      </c>
      <c r="AU50" s="180">
        <v>2362053000</v>
      </c>
      <c r="AV50" s="179">
        <v>2.4E-2</v>
      </c>
      <c r="AW50" s="174" t="s">
        <v>69</v>
      </c>
      <c r="AX50" s="174" t="s">
        <v>60</v>
      </c>
      <c r="AY50" s="174" t="s">
        <v>169</v>
      </c>
      <c r="AZ50" s="174" t="s">
        <v>60</v>
      </c>
      <c r="BA50" s="174" t="s">
        <v>53</v>
      </c>
      <c r="BB50" s="174" t="s">
        <v>60</v>
      </c>
      <c r="BC50" s="174" t="s">
        <v>60</v>
      </c>
      <c r="BD50" s="174" t="s">
        <v>60</v>
      </c>
      <c r="BE50" s="174" t="s">
        <v>60</v>
      </c>
      <c r="BF50" s="49" t="s">
        <v>53</v>
      </c>
      <c r="BG50" s="49" t="s">
        <v>53</v>
      </c>
      <c r="BH50" s="49" t="s">
        <v>53</v>
      </c>
      <c r="BI50" s="49" t="s">
        <v>53</v>
      </c>
      <c r="BJ50" s="49" t="s">
        <v>53</v>
      </c>
      <c r="BK50" s="49" t="s">
        <v>53</v>
      </c>
    </row>
    <row r="51" spans="1:64" ht="26" x14ac:dyDescent="0.3">
      <c r="A51" s="181" t="s">
        <v>170</v>
      </c>
      <c r="B51" s="181" t="s">
        <v>171</v>
      </c>
      <c r="C51" s="181" t="s">
        <v>307</v>
      </c>
      <c r="D51" s="181" t="s">
        <v>307</v>
      </c>
      <c r="E51" s="181">
        <v>900</v>
      </c>
      <c r="F51" s="181">
        <v>11</v>
      </c>
      <c r="G51" s="181">
        <v>5</v>
      </c>
      <c r="H51" s="181">
        <v>10654</v>
      </c>
      <c r="I51" s="181">
        <v>10</v>
      </c>
      <c r="J51" s="181">
        <v>2</v>
      </c>
      <c r="K51" s="181">
        <v>42065</v>
      </c>
      <c r="L51" s="182">
        <v>43054892</v>
      </c>
      <c r="M51" s="182">
        <v>43234427</v>
      </c>
      <c r="N51" s="182">
        <v>37583569</v>
      </c>
      <c r="O51" s="182">
        <v>123872888</v>
      </c>
      <c r="P51" s="187">
        <f t="shared" si="4"/>
        <v>0.34757316710013253</v>
      </c>
      <c r="Q51" s="184">
        <v>17068</v>
      </c>
      <c r="R51" s="188">
        <f>'All Data'!$O49/'All Data'!$Q49</f>
        <v>11097.953749986505</v>
      </c>
      <c r="S51" s="182">
        <v>539074451</v>
      </c>
      <c r="T51" s="183">
        <v>59452</v>
      </c>
      <c r="U51" s="182">
        <f t="shared" si="5"/>
        <v>9067.3896757047696</v>
      </c>
      <c r="V51" s="186">
        <v>0.36940000000000001</v>
      </c>
      <c r="W51" s="185">
        <v>6.23</v>
      </c>
      <c r="X51" s="186">
        <v>-0.27</v>
      </c>
      <c r="Y51" s="189">
        <v>0.36270000000000002</v>
      </c>
      <c r="Z51" s="193">
        <v>0.7016</v>
      </c>
      <c r="AA51" s="190">
        <v>0.977443274968122</v>
      </c>
      <c r="AB51" s="194">
        <v>7.6</v>
      </c>
      <c r="AC51" s="189">
        <v>0.33900000000000002</v>
      </c>
      <c r="AD51" s="193">
        <v>0.246</v>
      </c>
      <c r="AE51" s="192">
        <v>1763</v>
      </c>
      <c r="AF51" s="191">
        <v>4.0999999999999996</v>
      </c>
      <c r="AG51" s="196">
        <v>12715</v>
      </c>
      <c r="AH51" s="196">
        <v>10624</v>
      </c>
      <c r="AI51" s="196">
        <v>-2091</v>
      </c>
      <c r="AJ51" s="197">
        <v>-0.16445143520832062</v>
      </c>
      <c r="AK51" s="196">
        <v>3086.6666240692139</v>
      </c>
      <c r="AL51" s="196">
        <v>2510.6666679382324</v>
      </c>
      <c r="AM51" s="196">
        <v>470.99999666213989</v>
      </c>
      <c r="AN51" s="197">
        <v>0.30863931775093079</v>
      </c>
      <c r="AO51" s="197">
        <v>0.53810405731201172</v>
      </c>
      <c r="AP51" s="197">
        <v>0.39348903298377991</v>
      </c>
      <c r="AQ51" s="197">
        <v>0.54200000000000004</v>
      </c>
      <c r="AR51" s="197">
        <v>0.747</v>
      </c>
      <c r="AS51" s="197">
        <v>0.26600000000000001</v>
      </c>
      <c r="AT51" s="198">
        <v>0</v>
      </c>
      <c r="AU51" s="198">
        <v>306895355</v>
      </c>
      <c r="AV51" s="197">
        <v>0</v>
      </c>
      <c r="AW51" s="191" t="s">
        <v>64</v>
      </c>
      <c r="AX51" s="174" t="s">
        <v>60</v>
      </c>
      <c r="AY51" s="191" t="s">
        <v>172</v>
      </c>
      <c r="AZ51" s="191" t="s">
        <v>53</v>
      </c>
      <c r="BA51" s="191" t="s">
        <v>53</v>
      </c>
      <c r="BB51" s="191" t="s">
        <v>60</v>
      </c>
      <c r="BC51" s="191" t="s">
        <v>60</v>
      </c>
      <c r="BD51" s="191" t="s">
        <v>60</v>
      </c>
      <c r="BE51" s="191" t="s">
        <v>60</v>
      </c>
      <c r="BF51" s="49" t="s">
        <v>53</v>
      </c>
      <c r="BG51" s="49" t="s">
        <v>53</v>
      </c>
      <c r="BH51" s="23" t="s">
        <v>60</v>
      </c>
      <c r="BI51" s="49" t="s">
        <v>53</v>
      </c>
      <c r="BJ51" s="49" t="s">
        <v>53</v>
      </c>
      <c r="BK51" s="49" t="s">
        <v>53</v>
      </c>
    </row>
    <row r="52" spans="1:64" x14ac:dyDescent="0.3">
      <c r="A52" s="164" t="s">
        <v>173</v>
      </c>
      <c r="B52" s="164" t="s">
        <v>174</v>
      </c>
      <c r="C52" s="164" t="s">
        <v>311</v>
      </c>
      <c r="D52" s="164" t="s">
        <v>307</v>
      </c>
      <c r="E52" s="164">
        <v>3010</v>
      </c>
      <c r="F52" s="164">
        <v>16</v>
      </c>
      <c r="G52" s="164">
        <v>1</v>
      </c>
      <c r="H52" s="164">
        <v>51143</v>
      </c>
      <c r="I52" s="164">
        <v>16</v>
      </c>
      <c r="J52" s="164">
        <v>0</v>
      </c>
      <c r="K52" s="164">
        <v>120561</v>
      </c>
      <c r="L52" s="165">
        <v>112362506</v>
      </c>
      <c r="M52" s="165">
        <v>4283549</v>
      </c>
      <c r="N52" s="165">
        <v>13759266</v>
      </c>
      <c r="O52" s="165">
        <v>130405321</v>
      </c>
      <c r="P52" s="170">
        <f t="shared" si="4"/>
        <v>0.86164050008358173</v>
      </c>
      <c r="Q52" s="167">
        <v>61460</v>
      </c>
      <c r="R52" s="171">
        <f>'All Data'!$O50/'All Data'!$Q50</f>
        <v>7761.3236077765414</v>
      </c>
      <c r="S52" s="165">
        <v>2019871243</v>
      </c>
      <c r="T52" s="166">
        <v>196259</v>
      </c>
      <c r="U52" s="165">
        <f t="shared" si="5"/>
        <v>10291.865560305514</v>
      </c>
      <c r="V52" s="169">
        <v>0.33829999999999999</v>
      </c>
      <c r="W52" s="168">
        <v>5.67</v>
      </c>
      <c r="X52" s="169">
        <v>-0.23200000000000001</v>
      </c>
      <c r="Y52" s="172">
        <v>0.2863</v>
      </c>
      <c r="Z52" s="176">
        <v>0.58989999999999998</v>
      </c>
      <c r="AA52" s="173">
        <v>1.049819935947695</v>
      </c>
      <c r="AB52" s="177">
        <v>11.26</v>
      </c>
      <c r="AC52" s="172">
        <v>0.46800000000000003</v>
      </c>
      <c r="AD52" s="176">
        <v>0.34599999999999997</v>
      </c>
      <c r="AE52" s="175">
        <v>1918</v>
      </c>
      <c r="AF52" s="174">
        <v>3</v>
      </c>
      <c r="AG52" s="178">
        <v>56907</v>
      </c>
      <c r="AH52" s="178">
        <v>51601</v>
      </c>
      <c r="AI52" s="178">
        <v>-5306</v>
      </c>
      <c r="AJ52" s="179">
        <v>-9.3239843845367432E-2</v>
      </c>
      <c r="AK52" s="178">
        <v>6544.3332672119141</v>
      </c>
      <c r="AL52" s="178">
        <v>5682.6667251586914</v>
      </c>
      <c r="AM52" s="178">
        <v>5971.3333892822266</v>
      </c>
      <c r="AN52" s="179">
        <v>0.40075382590293884</v>
      </c>
      <c r="AO52" s="179">
        <v>0.64289063215255737</v>
      </c>
      <c r="AP52" s="179">
        <v>0.53388410806655884</v>
      </c>
      <c r="AQ52" s="179">
        <v>0.66</v>
      </c>
      <c r="AR52" s="179">
        <v>0.81699999999999995</v>
      </c>
      <c r="AS52" s="179">
        <v>0.44400000000000001</v>
      </c>
      <c r="AT52" s="180">
        <v>31915020</v>
      </c>
      <c r="AU52" s="180">
        <v>1760685855</v>
      </c>
      <c r="AV52" s="179">
        <v>1.7999999999999999E-2</v>
      </c>
      <c r="AW52" s="174" t="s">
        <v>52</v>
      </c>
      <c r="AX52" s="191" t="s">
        <v>53</v>
      </c>
      <c r="AY52" s="174"/>
      <c r="AZ52" s="174" t="s">
        <v>60</v>
      </c>
      <c r="BA52" s="174" t="s">
        <v>53</v>
      </c>
      <c r="BB52" s="174" t="s">
        <v>53</v>
      </c>
      <c r="BC52" s="174" t="s">
        <v>60</v>
      </c>
      <c r="BD52" s="174" t="s">
        <v>60</v>
      </c>
      <c r="BE52" s="174" t="s">
        <v>60</v>
      </c>
      <c r="BF52" s="49" t="s">
        <v>53</v>
      </c>
      <c r="BG52" s="49" t="s">
        <v>53</v>
      </c>
      <c r="BH52" s="49" t="s">
        <v>53</v>
      </c>
      <c r="BI52" s="49" t="s">
        <v>53</v>
      </c>
      <c r="BJ52" s="49" t="s">
        <v>53</v>
      </c>
      <c r="BK52" s="49" t="s">
        <v>53</v>
      </c>
    </row>
    <row r="53" spans="1:64" x14ac:dyDescent="0.3">
      <c r="A53" s="181" t="s">
        <v>175</v>
      </c>
      <c r="B53" s="181" t="s">
        <v>176</v>
      </c>
      <c r="C53" s="181" t="s">
        <v>307</v>
      </c>
      <c r="D53" s="181" t="s">
        <v>307</v>
      </c>
      <c r="E53" s="181">
        <v>291</v>
      </c>
      <c r="F53" s="181">
        <v>7</v>
      </c>
      <c r="G53" s="181">
        <v>0</v>
      </c>
      <c r="H53" s="181">
        <v>10504</v>
      </c>
      <c r="I53" s="181">
        <v>1</v>
      </c>
      <c r="J53" s="181">
        <v>0</v>
      </c>
      <c r="K53" s="181">
        <v>7877</v>
      </c>
      <c r="L53" s="182">
        <v>15353773</v>
      </c>
      <c r="M53" s="182"/>
      <c r="N53" s="182"/>
      <c r="O53" s="182">
        <v>15353773</v>
      </c>
      <c r="P53" s="187">
        <f t="shared" si="4"/>
        <v>1</v>
      </c>
      <c r="Q53" s="184">
        <v>6208</v>
      </c>
      <c r="R53" s="188">
        <f>'All Data'!$O51/'All Data'!$Q51</f>
        <v>7257.6100304663696</v>
      </c>
      <c r="S53" s="182">
        <v>395521036</v>
      </c>
      <c r="T53" s="183">
        <v>20927</v>
      </c>
      <c r="U53" s="182">
        <f t="shared" si="5"/>
        <v>18900.035169876235</v>
      </c>
      <c r="V53" s="186">
        <v>0.22270000000000001</v>
      </c>
      <c r="W53" s="185">
        <v>9.59</v>
      </c>
      <c r="X53" s="186">
        <v>-0.26300000000000001</v>
      </c>
      <c r="Y53" s="189">
        <v>0.26929999999999998</v>
      </c>
      <c r="Z53" s="193">
        <v>0.44700000000000001</v>
      </c>
      <c r="AA53" s="190">
        <v>0.44699191632311325</v>
      </c>
      <c r="AB53" s="194">
        <v>12.3</v>
      </c>
      <c r="AC53" s="189">
        <v>0.42899999999999999</v>
      </c>
      <c r="AD53" s="193">
        <v>0.29799999999999999</v>
      </c>
      <c r="AE53" s="192">
        <v>3166</v>
      </c>
      <c r="AF53" s="191">
        <v>3.2</v>
      </c>
      <c r="AG53" s="196">
        <v>11701</v>
      </c>
      <c r="AH53" s="196">
        <v>10341</v>
      </c>
      <c r="AI53" s="196">
        <v>-1360</v>
      </c>
      <c r="AJ53" s="197">
        <v>-0.11622938513755798</v>
      </c>
      <c r="AK53" s="196">
        <v>2741.9999847412109</v>
      </c>
      <c r="AL53" s="196">
        <v>1686.1666717529297</v>
      </c>
      <c r="AM53" s="196">
        <v>287.33333778381348</v>
      </c>
      <c r="AN53" s="197">
        <v>0.37454414367675781</v>
      </c>
      <c r="AO53" s="197">
        <v>0.61075419187545776</v>
      </c>
      <c r="AP53" s="197">
        <v>0.31844547390937805</v>
      </c>
      <c r="AQ53" s="197">
        <v>0.60299999999999998</v>
      </c>
      <c r="AR53" s="197">
        <v>0.77300000000000002</v>
      </c>
      <c r="AS53" s="197">
        <v>0.38600000000000001</v>
      </c>
      <c r="AT53" s="198">
        <v>17929708</v>
      </c>
      <c r="AU53" s="198">
        <v>369612542</v>
      </c>
      <c r="AV53" s="197">
        <v>4.9000000000000002E-2</v>
      </c>
      <c r="AW53" s="191" t="s">
        <v>52</v>
      </c>
      <c r="AX53" s="191" t="s">
        <v>53</v>
      </c>
      <c r="AY53" s="191"/>
      <c r="AZ53" s="191" t="s">
        <v>60</v>
      </c>
      <c r="BA53" s="191" t="s">
        <v>53</v>
      </c>
      <c r="BB53" s="191" t="s">
        <v>60</v>
      </c>
      <c r="BC53" s="191" t="s">
        <v>60</v>
      </c>
      <c r="BD53" s="191" t="s">
        <v>60</v>
      </c>
      <c r="BE53" s="191" t="s">
        <v>60</v>
      </c>
      <c r="BF53" s="49" t="s">
        <v>53</v>
      </c>
      <c r="BG53" s="49" t="s">
        <v>53</v>
      </c>
      <c r="BH53" s="49" t="s">
        <v>53</v>
      </c>
      <c r="BI53" s="49" t="s">
        <v>53</v>
      </c>
      <c r="BJ53" s="49" t="s">
        <v>53</v>
      </c>
      <c r="BK53" s="49" t="s">
        <v>53</v>
      </c>
    </row>
    <row r="54" spans="1:64" x14ac:dyDescent="0.3">
      <c r="AB54" s="149"/>
      <c r="AC54" s="149"/>
      <c r="AD54" s="149"/>
      <c r="AE54" s="149"/>
      <c r="BF54" s="23"/>
      <c r="BG54" s="23"/>
      <c r="BH54" s="23"/>
      <c r="BI54" s="23"/>
      <c r="BJ54" s="23"/>
      <c r="BK54" s="23"/>
      <c r="BL54" s="49" t="s">
        <v>809</v>
      </c>
    </row>
  </sheetData>
  <autoFilter ref="A1:BL54" xr:uid="{D744F365-A659-4208-8134-544776ACD48F}">
    <sortState xmlns:xlrd2="http://schemas.microsoft.com/office/spreadsheetml/2017/richdata2" ref="A2:BL54">
      <sortCondition ref="A1:A54"/>
    </sortState>
  </autoFilter>
  <dataValidations count="1">
    <dataValidation type="custom" allowBlank="1" showDropDown="1" sqref="L2:R51" xr:uid="{2ACDE88A-DA5D-4BEF-848A-508154C9B4AD}">
      <formula1>AND(ISNUMBER(L2),(NOT(OR(NOT(ISERROR(DATEVALUE(L2))), AND(ISNUMBER(L2), LEFT(CELL("format", L2))="D")))))</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05B44-7AA7-4A03-9CE4-F6970068E783}">
  <dimension ref="A1:BO54"/>
  <sheetViews>
    <sheetView workbookViewId="0">
      <pane xSplit="1" ySplit="1" topLeftCell="AT2" activePane="bottomRight" state="frozen"/>
      <selection pane="topRight" activeCell="B1" sqref="B1"/>
      <selection pane="bottomLeft" activeCell="A2" sqref="A2"/>
      <selection pane="bottomRight" activeCell="AX22" sqref="AX22"/>
    </sheetView>
  </sheetViews>
  <sheetFormatPr defaultColWidth="8.90625" defaultRowHeight="13" x14ac:dyDescent="0.3"/>
  <cols>
    <col min="1" max="1" width="12.54296875" style="49" customWidth="1"/>
    <col min="2" max="2" width="8.90625" style="49"/>
    <col min="3" max="3" width="11.81640625" style="49" customWidth="1"/>
    <col min="4" max="11" width="13.453125" style="49" customWidth="1"/>
    <col min="12" max="13" width="13.81640625" style="49" bestFit="1" customWidth="1"/>
    <col min="14" max="14" width="12.81640625" style="49" bestFit="1" customWidth="1"/>
    <col min="15" max="15" width="13.81640625" style="49" bestFit="1" customWidth="1"/>
    <col min="16" max="16" width="16.90625" style="49" customWidth="1"/>
    <col min="17" max="17" width="10.453125" style="49" bestFit="1" customWidth="1"/>
    <col min="18" max="18" width="9.54296875" style="49" bestFit="1" customWidth="1"/>
    <col min="19" max="19" width="9" style="49" bestFit="1" customWidth="1"/>
    <col min="20" max="22" width="13.08984375" style="49" customWidth="1"/>
    <col min="23" max="23" width="9" style="49" bestFit="1" customWidth="1"/>
    <col min="24" max="24" width="12.1796875" style="49" customWidth="1"/>
    <col min="25" max="25" width="9" style="49" bestFit="1" customWidth="1"/>
    <col min="26" max="26" width="16.90625" style="49" customWidth="1"/>
    <col min="27" max="27" width="9" style="49" bestFit="1" customWidth="1"/>
    <col min="28" max="28" width="14.54296875" style="49" customWidth="1"/>
    <col min="29" max="29" width="14.1796875" style="49" customWidth="1"/>
    <col min="30" max="30" width="14.1796875" style="149" customWidth="1"/>
    <col min="31" max="32" width="14.1796875" style="49" customWidth="1"/>
    <col min="33" max="34" width="10.453125" style="49" bestFit="1" customWidth="1"/>
    <col min="35" max="35" width="13.6328125" style="49" customWidth="1"/>
    <col min="36" max="37" width="17.1796875" style="49" customWidth="1"/>
    <col min="38" max="40" width="9.54296875" style="49" bestFit="1" customWidth="1"/>
    <col min="41" max="43" width="9" style="49" bestFit="1" customWidth="1"/>
    <col min="44" max="45" width="14.1796875" style="49" customWidth="1"/>
    <col min="46" max="46" width="15.453125" style="49" customWidth="1"/>
    <col min="47" max="48" width="15.453125" style="55" customWidth="1"/>
    <col min="49" max="49" width="15.453125" style="49" customWidth="1"/>
    <col min="50" max="50" width="8.90625" style="49"/>
    <col min="51" max="51" width="14" style="49" customWidth="1"/>
    <col min="52" max="52" width="17.453125" style="49" customWidth="1"/>
    <col min="53" max="53" width="11" style="49" customWidth="1"/>
    <col min="54" max="54" width="11.6328125" style="49" customWidth="1"/>
    <col min="55" max="57" width="14.81640625" style="49" customWidth="1"/>
    <col min="58" max="58" width="11.1796875" style="49" customWidth="1"/>
    <col min="59" max="59" width="9" style="49" bestFit="1" customWidth="1"/>
    <col min="60" max="66" width="9" style="49" customWidth="1"/>
    <col min="67" max="67" width="9" style="49" bestFit="1" customWidth="1"/>
    <col min="68" max="16384" width="8.90625" style="49"/>
  </cols>
  <sheetData>
    <row r="1" spans="1:67" s="61" customFormat="1" ht="91" x14ac:dyDescent="0.3">
      <c r="A1" s="67" t="s">
        <v>20</v>
      </c>
      <c r="B1" s="67" t="s">
        <v>22</v>
      </c>
      <c r="C1" s="154" t="s">
        <v>235</v>
      </c>
      <c r="D1" s="154" t="s">
        <v>236</v>
      </c>
      <c r="E1" s="154" t="s">
        <v>284</v>
      </c>
      <c r="F1" s="154" t="s">
        <v>237</v>
      </c>
      <c r="G1" s="154" t="s">
        <v>238</v>
      </c>
      <c r="H1" s="154" t="s">
        <v>239</v>
      </c>
      <c r="I1" s="154" t="s">
        <v>242</v>
      </c>
      <c r="J1" s="154" t="s">
        <v>243</v>
      </c>
      <c r="K1" s="154" t="s">
        <v>244</v>
      </c>
      <c r="L1" s="68" t="s">
        <v>23</v>
      </c>
      <c r="M1" s="68" t="s">
        <v>24</v>
      </c>
      <c r="N1" s="68" t="s">
        <v>25</v>
      </c>
      <c r="O1" s="153" t="s">
        <v>26</v>
      </c>
      <c r="P1" s="67" t="s">
        <v>27</v>
      </c>
      <c r="Q1" s="67" t="s">
        <v>28</v>
      </c>
      <c r="R1" s="67" t="s">
        <v>29</v>
      </c>
      <c r="S1" s="154" t="s">
        <v>30</v>
      </c>
      <c r="T1" s="154" t="s">
        <v>31</v>
      </c>
      <c r="U1" s="157" t="s">
        <v>303</v>
      </c>
      <c r="V1" s="157" t="s">
        <v>305</v>
      </c>
      <c r="W1" s="155" t="s">
        <v>821</v>
      </c>
      <c r="X1" s="154" t="s">
        <v>33</v>
      </c>
      <c r="Y1" s="154" t="s">
        <v>34</v>
      </c>
      <c r="Z1" s="154" t="s">
        <v>35</v>
      </c>
      <c r="AA1" s="154" t="s">
        <v>279</v>
      </c>
      <c r="AB1" s="154" t="s">
        <v>37</v>
      </c>
      <c r="AC1" s="154" t="s">
        <v>653</v>
      </c>
      <c r="AD1" s="157" t="s">
        <v>297</v>
      </c>
      <c r="AE1" s="157" t="s">
        <v>666</v>
      </c>
      <c r="AF1" s="154" t="s">
        <v>290</v>
      </c>
      <c r="AG1" s="154" t="s">
        <v>655</v>
      </c>
      <c r="AH1" s="154" t="s">
        <v>656</v>
      </c>
      <c r="AI1" s="67" t="s">
        <v>657</v>
      </c>
      <c r="AJ1" s="154" t="s">
        <v>658</v>
      </c>
      <c r="AK1" s="154" t="s">
        <v>266</v>
      </c>
      <c r="AL1" s="67" t="s">
        <v>38</v>
      </c>
      <c r="AM1" s="67" t="s">
        <v>39</v>
      </c>
      <c r="AN1" s="67" t="s">
        <v>40</v>
      </c>
      <c r="AO1" s="154" t="s">
        <v>659</v>
      </c>
      <c r="AP1" s="154" t="s">
        <v>660</v>
      </c>
      <c r="AQ1" s="154" t="s">
        <v>661</v>
      </c>
      <c r="AR1" s="154" t="s">
        <v>270</v>
      </c>
      <c r="AS1" s="154" t="s">
        <v>274</v>
      </c>
      <c r="AT1" s="154" t="s">
        <v>667</v>
      </c>
      <c r="AU1" s="160" t="s">
        <v>668</v>
      </c>
      <c r="AV1" s="160" t="s">
        <v>669</v>
      </c>
      <c r="AW1" s="154" t="s">
        <v>670</v>
      </c>
      <c r="AX1" s="154" t="s">
        <v>41</v>
      </c>
      <c r="AY1" s="201" t="s">
        <v>826</v>
      </c>
      <c r="AZ1" s="67" t="s">
        <v>43</v>
      </c>
      <c r="BA1" s="154" t="s">
        <v>44</v>
      </c>
      <c r="BB1" s="154" t="s">
        <v>45</v>
      </c>
      <c r="BC1" s="154" t="s">
        <v>46</v>
      </c>
      <c r="BD1" s="154" t="s">
        <v>641</v>
      </c>
      <c r="BE1" s="154" t="s">
        <v>642</v>
      </c>
      <c r="BF1" s="154" t="s">
        <v>47</v>
      </c>
      <c r="BG1" s="154" t="s">
        <v>48</v>
      </c>
      <c r="BH1" s="154" t="s">
        <v>801</v>
      </c>
      <c r="BI1" s="154" t="s">
        <v>803</v>
      </c>
      <c r="BJ1" s="154" t="s">
        <v>802</v>
      </c>
      <c r="BK1" s="154" t="s">
        <v>804</v>
      </c>
      <c r="BL1" s="154" t="s">
        <v>805</v>
      </c>
      <c r="BM1" s="154" t="s">
        <v>806</v>
      </c>
      <c r="BN1" s="209" t="s">
        <v>807</v>
      </c>
      <c r="BO1" s="154" t="s">
        <v>49</v>
      </c>
    </row>
    <row r="2" spans="1:67" x14ac:dyDescent="0.3">
      <c r="A2" s="50" t="s">
        <v>50</v>
      </c>
      <c r="B2" s="50" t="s">
        <v>51</v>
      </c>
      <c r="C2" s="50" t="s">
        <v>307</v>
      </c>
      <c r="D2" s="50" t="s">
        <v>307</v>
      </c>
      <c r="E2" s="50">
        <v>2566</v>
      </c>
      <c r="F2" s="50">
        <v>23</v>
      </c>
      <c r="G2" s="50">
        <v>15</v>
      </c>
      <c r="H2" s="50">
        <v>52077</v>
      </c>
      <c r="I2" s="50">
        <v>14</v>
      </c>
      <c r="J2" s="50">
        <v>2</v>
      </c>
      <c r="K2" s="50">
        <v>121544</v>
      </c>
      <c r="L2" s="51">
        <v>47033422</v>
      </c>
      <c r="M2" s="51">
        <v>10252777</v>
      </c>
      <c r="N2" s="51">
        <v>166027</v>
      </c>
      <c r="O2" s="51">
        <v>57452226</v>
      </c>
      <c r="P2" s="51">
        <v>3053449272</v>
      </c>
      <c r="Q2" s="52">
        <v>208913</v>
      </c>
      <c r="R2" s="22">
        <v>47656</v>
      </c>
      <c r="S2" s="51">
        <f t="shared" ref="S2:S33" si="0">P2/Q2</f>
        <v>14615.889255335953</v>
      </c>
      <c r="T2" s="53">
        <v>8.09</v>
      </c>
      <c r="U2" s="158">
        <v>1.0504</v>
      </c>
      <c r="V2" s="158">
        <v>-9.6000000000000002E-2</v>
      </c>
      <c r="W2" s="54">
        <f t="shared" ref="W2:W40" si="1">L2/O2</f>
        <v>0.818652735927064</v>
      </c>
      <c r="X2" s="55">
        <f>RawData[[#This Row],[Total State Aid]]/RawData[[#This Row],[Public high school graduates, 2022-23]]</f>
        <v>1205.5612304851436</v>
      </c>
      <c r="Y2" s="56">
        <v>0.33210000000000001</v>
      </c>
      <c r="Z2" s="57">
        <v>0.81462267184543213</v>
      </c>
      <c r="AA2" s="48">
        <v>3.1</v>
      </c>
      <c r="AB2" s="56">
        <v>0.38300000000000001</v>
      </c>
      <c r="AC2" s="151">
        <v>1880</v>
      </c>
      <c r="AD2" s="149">
        <v>0.7742</v>
      </c>
      <c r="AE2" s="149">
        <v>0.28499999999999998</v>
      </c>
      <c r="AF2" s="150">
        <v>10.31</v>
      </c>
      <c r="AG2" s="23">
        <v>59154</v>
      </c>
      <c r="AH2" s="23">
        <v>53700</v>
      </c>
      <c r="AI2" s="23">
        <v>-5454</v>
      </c>
      <c r="AJ2" s="59">
        <v>-9.2200018465518951E-2</v>
      </c>
      <c r="AK2" s="59">
        <v>-5.1999999999999998E-2</v>
      </c>
      <c r="AL2" s="23">
        <v>12447.999996185303</v>
      </c>
      <c r="AM2" s="23">
        <v>11518.99987411499</v>
      </c>
      <c r="AN2" s="23">
        <v>4029.6666831970215</v>
      </c>
      <c r="AO2" s="59">
        <v>0.29932519793510437</v>
      </c>
      <c r="AP2" s="59">
        <v>0.60806781053543091</v>
      </c>
      <c r="AQ2" s="59">
        <v>0.40855324268341064</v>
      </c>
      <c r="AR2" s="59">
        <v>0.61399999999999999</v>
      </c>
      <c r="AS2" s="59">
        <v>0.80700000000000005</v>
      </c>
      <c r="AT2" s="59">
        <v>0.38200000000000001</v>
      </c>
      <c r="AU2" s="161">
        <v>39050811</v>
      </c>
      <c r="AV2" s="161">
        <v>2076902315</v>
      </c>
      <c r="AW2" s="59">
        <v>1.9E-2</v>
      </c>
      <c r="AX2" s="48" t="s">
        <v>52</v>
      </c>
      <c r="AY2" s="48" t="s">
        <v>53</v>
      </c>
      <c r="AZ2" s="48"/>
      <c r="BA2" s="48" t="s">
        <v>60</v>
      </c>
      <c r="BB2" s="48" t="s">
        <v>53</v>
      </c>
      <c r="BC2" s="48" t="s">
        <v>53</v>
      </c>
      <c r="BD2" s="48" t="s">
        <v>60</v>
      </c>
      <c r="BE2" s="48" t="s">
        <v>53</v>
      </c>
      <c r="BF2" s="48" t="s">
        <v>53</v>
      </c>
      <c r="BG2" s="48">
        <f>IF(OR(RawData[[#This Row],[Existing partner and/or SHEEO?]]="Existing Partner",RawData[[#This Row],[Existing partner and/or SHEEO?]]="SHEEO",RawData[[#This Row],[Existing partner and/or SHEEO?]]="Both"),2,0)+IF(ISBLANK(RawData[[#This Row],[Contact with CUNY ASAP Replication Team? (Through Spring 2025)]]),0,1)</f>
        <v>1</v>
      </c>
      <c r="BH2" s="49" t="s">
        <v>53</v>
      </c>
      <c r="BI2" s="49" t="s">
        <v>53</v>
      </c>
      <c r="BJ2" s="49" t="s">
        <v>53</v>
      </c>
      <c r="BK2" s="49" t="s">
        <v>53</v>
      </c>
      <c r="BL2" s="49" t="s">
        <v>53</v>
      </c>
      <c r="BM2" s="49" t="s">
        <v>53</v>
      </c>
      <c r="BN2" s="49" t="s">
        <v>53</v>
      </c>
      <c r="BO2" s="48">
        <f t="shared" ref="BO2:BO33" si="2">COUNTIF(BA2:BF2,"Yes")</f>
        <v>2</v>
      </c>
    </row>
    <row r="3" spans="1:67" x14ac:dyDescent="0.3">
      <c r="A3" s="50" t="s">
        <v>54</v>
      </c>
      <c r="B3" s="50" t="s">
        <v>55</v>
      </c>
      <c r="C3" s="50" t="s">
        <v>307</v>
      </c>
      <c r="D3" s="50" t="s">
        <v>307</v>
      </c>
      <c r="E3" s="50">
        <v>391</v>
      </c>
      <c r="F3" s="50">
        <v>0</v>
      </c>
      <c r="G3" s="50">
        <v>0</v>
      </c>
      <c r="H3" s="50"/>
      <c r="I3" s="50">
        <v>4</v>
      </c>
      <c r="J3" s="50">
        <v>1</v>
      </c>
      <c r="K3" s="50">
        <v>11126</v>
      </c>
      <c r="L3" s="51">
        <v>5726501</v>
      </c>
      <c r="M3" s="51">
        <v>7822721</v>
      </c>
      <c r="N3" s="51">
        <v>6512127</v>
      </c>
      <c r="O3" s="51">
        <v>20061349</v>
      </c>
      <c r="P3" s="51">
        <v>320672930</v>
      </c>
      <c r="Q3" s="52">
        <v>12075</v>
      </c>
      <c r="R3" s="22">
        <v>8058</v>
      </c>
      <c r="S3" s="51">
        <f>P3/Q3</f>
        <v>26556.764389233955</v>
      </c>
      <c r="T3" s="53">
        <v>6.31</v>
      </c>
      <c r="U3" s="158">
        <v>0.35970000000000002</v>
      </c>
      <c r="V3" s="158">
        <v>-0.35299999999999998</v>
      </c>
      <c r="W3" s="54">
        <f t="shared" si="1"/>
        <v>0.28544944809045492</v>
      </c>
      <c r="X3" s="55">
        <f>RawData[[#This Row],[Total State Aid]]/RawData[[#This Row],[Public high school graduates, 2022-23]]</f>
        <v>2489.6188880615537</v>
      </c>
      <c r="Y3" s="56">
        <v>0.37890000000000001</v>
      </c>
      <c r="Z3" s="57">
        <v>1.1257890117875227</v>
      </c>
      <c r="AA3" s="48">
        <v>4.5999999999999996</v>
      </c>
      <c r="AB3" s="56">
        <v>0.40400000000000003</v>
      </c>
      <c r="AC3" s="151">
        <v>4285</v>
      </c>
      <c r="AD3" s="149">
        <v>0.73740000000000006</v>
      </c>
      <c r="AE3" s="149">
        <v>0.31</v>
      </c>
      <c r="AF3" s="150">
        <v>6.85</v>
      </c>
      <c r="AG3" s="58"/>
      <c r="AH3" s="58"/>
      <c r="AI3" s="58"/>
      <c r="AJ3" s="58"/>
      <c r="AK3" s="58">
        <v>-0.28599999999999998</v>
      </c>
      <c r="AL3" s="58"/>
      <c r="AM3" s="58"/>
      <c r="AN3" s="58"/>
      <c r="AO3" s="58"/>
      <c r="AP3" s="58"/>
      <c r="AQ3" s="58"/>
      <c r="AR3" s="58">
        <v>0.36099999999999999</v>
      </c>
      <c r="AS3" s="58">
        <v>0.69</v>
      </c>
      <c r="AT3" s="58">
        <v>0.441</v>
      </c>
      <c r="AU3" s="55">
        <v>0</v>
      </c>
      <c r="AV3" s="55">
        <v>294598241</v>
      </c>
      <c r="AW3" s="58">
        <v>0</v>
      </c>
      <c r="AX3" s="48" t="s">
        <v>52</v>
      </c>
      <c r="AY3" s="48" t="s">
        <v>53</v>
      </c>
      <c r="AZ3" s="48"/>
      <c r="BA3" s="48" t="s">
        <v>53</v>
      </c>
      <c r="BB3" s="48" t="s">
        <v>53</v>
      </c>
      <c r="BC3" s="48" t="s">
        <v>53</v>
      </c>
      <c r="BD3" s="48" t="s">
        <v>53</v>
      </c>
      <c r="BE3" s="48" t="s">
        <v>53</v>
      </c>
      <c r="BF3" s="48" t="s">
        <v>53</v>
      </c>
      <c r="BG3" s="48">
        <f>IF(OR(RawData[[#This Row],[Existing partner and/or SHEEO?]]="Existing Partner",RawData[[#This Row],[Existing partner and/or SHEEO?]]="SHEEO",RawData[[#This Row],[Existing partner and/or SHEEO?]]="Both"),2,0)+IF(ISBLANK(RawData[[#This Row],[Contact with CUNY ASAP Replication Team? (Through Spring 2025)]]),0,1)</f>
        <v>1</v>
      </c>
      <c r="BH3" s="49" t="s">
        <v>53</v>
      </c>
      <c r="BI3" s="49" t="s">
        <v>53</v>
      </c>
      <c r="BJ3" s="49" t="s">
        <v>53</v>
      </c>
      <c r="BK3" s="49" t="s">
        <v>53</v>
      </c>
      <c r="BL3" s="49" t="s">
        <v>53</v>
      </c>
      <c r="BM3" s="49" t="s">
        <v>53</v>
      </c>
      <c r="BN3" s="49" t="s">
        <v>53</v>
      </c>
      <c r="BO3" s="48">
        <f t="shared" si="2"/>
        <v>0</v>
      </c>
    </row>
    <row r="4" spans="1:67" x14ac:dyDescent="0.3">
      <c r="A4" s="50" t="s">
        <v>56</v>
      </c>
      <c r="B4" s="50" t="s">
        <v>57</v>
      </c>
      <c r="C4" s="50" t="s">
        <v>311</v>
      </c>
      <c r="D4" s="50" t="s">
        <v>307</v>
      </c>
      <c r="E4" s="50">
        <v>3639</v>
      </c>
      <c r="F4" s="50">
        <v>20</v>
      </c>
      <c r="G4" s="50">
        <v>18</v>
      </c>
      <c r="H4" s="50">
        <v>90992</v>
      </c>
      <c r="I4" s="50">
        <v>5</v>
      </c>
      <c r="J4" s="50">
        <v>0</v>
      </c>
      <c r="K4" s="50">
        <v>160197</v>
      </c>
      <c r="L4" s="51">
        <v>77721073</v>
      </c>
      <c r="M4" s="51"/>
      <c r="N4" s="51">
        <v>382749</v>
      </c>
      <c r="O4" s="51">
        <v>78103822</v>
      </c>
      <c r="P4" s="51">
        <v>2390726700</v>
      </c>
      <c r="Q4" s="52">
        <v>305911</v>
      </c>
      <c r="R4" s="22">
        <v>78847</v>
      </c>
      <c r="S4" s="51">
        <f t="shared" si="0"/>
        <v>7815.1053737851862</v>
      </c>
      <c r="T4" s="53">
        <v>5.34</v>
      </c>
      <c r="U4" s="158">
        <v>0.2492</v>
      </c>
      <c r="V4" s="158">
        <v>-0.23899999999999999</v>
      </c>
      <c r="W4" s="54">
        <f t="shared" si="1"/>
        <v>0.99509948437606544</v>
      </c>
      <c r="X4" s="55">
        <f>RawData[[#This Row],[Total State Aid]]/RawData[[#This Row],[Public high school graduates, 2022-23]]</f>
        <v>990.57442895734778</v>
      </c>
      <c r="Y4" s="56">
        <v>0.32350000000000001</v>
      </c>
      <c r="Z4" s="57">
        <v>0.88201521517461845</v>
      </c>
      <c r="AA4" s="48">
        <v>3.6</v>
      </c>
      <c r="AB4" s="56">
        <v>0.42099999999999999</v>
      </c>
      <c r="AC4" s="151">
        <v>1448</v>
      </c>
      <c r="AD4" s="149">
        <v>0.74850000000000005</v>
      </c>
      <c r="AE4" s="149">
        <v>0.32600000000000001</v>
      </c>
      <c r="AF4" s="150">
        <v>15.68</v>
      </c>
      <c r="AG4" s="23">
        <v>107939</v>
      </c>
      <c r="AH4" s="23">
        <v>91586</v>
      </c>
      <c r="AI4" s="23">
        <v>-16353</v>
      </c>
      <c r="AJ4" s="59">
        <v>-0.15150223672389984</v>
      </c>
      <c r="AK4" s="59">
        <v>0.28199999999999997</v>
      </c>
      <c r="AL4" s="23">
        <v>10820.666679382324</v>
      </c>
      <c r="AM4" s="23">
        <v>9278.3333110809326</v>
      </c>
      <c r="AN4" s="23">
        <v>9617.6666946411133</v>
      </c>
      <c r="AO4" s="59">
        <v>0.1992175430059433</v>
      </c>
      <c r="AP4" s="59">
        <v>0.61390334367752075</v>
      </c>
      <c r="AQ4" s="59">
        <v>0.40463730692863464</v>
      </c>
      <c r="AR4" s="59">
        <v>0.64300000000000002</v>
      </c>
      <c r="AS4" s="59">
        <v>0.83599999999999997</v>
      </c>
      <c r="AT4" s="59">
        <v>0.55800000000000005</v>
      </c>
      <c r="AU4" s="161">
        <v>0</v>
      </c>
      <c r="AV4" s="161">
        <v>2036636500</v>
      </c>
      <c r="AW4" s="59">
        <v>0</v>
      </c>
      <c r="AX4" s="48" t="s">
        <v>52</v>
      </c>
      <c r="AY4" s="48" t="s">
        <v>60</v>
      </c>
      <c r="AZ4" s="48" t="s">
        <v>59</v>
      </c>
      <c r="BA4" s="48" t="s">
        <v>53</v>
      </c>
      <c r="BB4" s="48" t="s">
        <v>53</v>
      </c>
      <c r="BC4" s="48" t="s">
        <v>53</v>
      </c>
      <c r="BD4" s="48" t="s">
        <v>60</v>
      </c>
      <c r="BE4" s="48" t="s">
        <v>60</v>
      </c>
      <c r="BF4" s="48" t="s">
        <v>53</v>
      </c>
      <c r="BG4" s="48">
        <f>IF(OR(RawData[[#This Row],[Existing partner and/or SHEEO?]]="Existing Partner",RawData[[#This Row],[Existing partner and/or SHEEO?]]="SHEEO",RawData[[#This Row],[Existing partner and/or SHEEO?]]="Both"),2,0)+IF(ISBLANK(RawData[[#This Row],[Contact with CUNY ASAP Replication Team? (Through Spring 2025)]]),0,1)</f>
        <v>1</v>
      </c>
      <c r="BH4" s="23" t="s">
        <v>60</v>
      </c>
      <c r="BI4" s="23" t="s">
        <v>60</v>
      </c>
      <c r="BJ4" s="49" t="s">
        <v>53</v>
      </c>
      <c r="BK4" s="49" t="s">
        <v>53</v>
      </c>
      <c r="BL4" s="49" t="s">
        <v>53</v>
      </c>
      <c r="BM4" s="49" t="s">
        <v>53</v>
      </c>
      <c r="BN4" s="49" t="s">
        <v>808</v>
      </c>
      <c r="BO4" s="48">
        <f t="shared" si="2"/>
        <v>2</v>
      </c>
    </row>
    <row r="5" spans="1:67" x14ac:dyDescent="0.3">
      <c r="A5" s="50" t="s">
        <v>61</v>
      </c>
      <c r="B5" s="50" t="s">
        <v>62</v>
      </c>
      <c r="C5" s="50" t="s">
        <v>307</v>
      </c>
      <c r="D5" s="50" t="s">
        <v>307</v>
      </c>
      <c r="E5" s="50">
        <v>1518</v>
      </c>
      <c r="F5" s="50">
        <v>22</v>
      </c>
      <c r="G5" s="50">
        <v>9</v>
      </c>
      <c r="H5" s="50">
        <v>27060</v>
      </c>
      <c r="I5" s="50">
        <v>12</v>
      </c>
      <c r="J5" s="50">
        <v>1</v>
      </c>
      <c r="K5" s="50">
        <v>67793</v>
      </c>
      <c r="L5" s="51">
        <v>175000</v>
      </c>
      <c r="M5" s="51">
        <v>101909564</v>
      </c>
      <c r="N5" s="51">
        <v>3296294</v>
      </c>
      <c r="O5" s="51">
        <v>105380858</v>
      </c>
      <c r="P5" s="51">
        <v>1119683135</v>
      </c>
      <c r="Q5" s="52">
        <v>106833</v>
      </c>
      <c r="R5" s="22">
        <v>31709</v>
      </c>
      <c r="S5" s="51">
        <f t="shared" si="0"/>
        <v>10480.686070783373</v>
      </c>
      <c r="T5" s="53">
        <v>7.32</v>
      </c>
      <c r="U5" s="158">
        <v>0.25609999999999999</v>
      </c>
      <c r="V5" s="158">
        <v>-0.307</v>
      </c>
      <c r="W5" s="54">
        <f t="shared" si="1"/>
        <v>1.6606431502009596E-3</v>
      </c>
      <c r="X5" s="55">
        <f>RawData[[#This Row],[Total State Aid]]/RawData[[#This Row],[Public high school graduates, 2022-23]]</f>
        <v>3323.3737424705919</v>
      </c>
      <c r="Y5" s="56">
        <v>0.2611</v>
      </c>
      <c r="Z5" s="57">
        <v>0.73783284001741811</v>
      </c>
      <c r="AA5" s="48">
        <v>3.5</v>
      </c>
      <c r="AB5" s="56">
        <v>0.34599999999999997</v>
      </c>
      <c r="AC5" s="151">
        <v>2329</v>
      </c>
      <c r="AD5" s="149">
        <v>0.7</v>
      </c>
      <c r="AE5" s="149">
        <v>0.25900000000000001</v>
      </c>
      <c r="AF5" s="150">
        <v>12.64</v>
      </c>
      <c r="AG5" s="23">
        <v>30838</v>
      </c>
      <c r="AH5" s="23">
        <v>26620</v>
      </c>
      <c r="AI5" s="23">
        <v>-4218</v>
      </c>
      <c r="AJ5" s="59">
        <v>-0.1367792934179306</v>
      </c>
      <c r="AK5" s="59">
        <v>-9.7000000000000003E-2</v>
      </c>
      <c r="AL5" s="23">
        <v>6221.6666564941406</v>
      </c>
      <c r="AM5" s="23">
        <v>5923.6666069030762</v>
      </c>
      <c r="AN5" s="23">
        <v>1893.6666507720947</v>
      </c>
      <c r="AO5" s="59">
        <v>0.35713902115821838</v>
      </c>
      <c r="AP5" s="59">
        <v>0.57363122701644897</v>
      </c>
      <c r="AQ5" s="59">
        <v>0.38655167818069458</v>
      </c>
      <c r="AR5" s="59">
        <v>0.54300000000000004</v>
      </c>
      <c r="AS5" s="59">
        <v>0.76200000000000001</v>
      </c>
      <c r="AT5" s="59">
        <v>0.36399999999999999</v>
      </c>
      <c r="AU5" s="161">
        <v>6339866</v>
      </c>
      <c r="AV5" s="161">
        <v>763953235</v>
      </c>
      <c r="AW5" s="59">
        <v>8.0000000000000002E-3</v>
      </c>
      <c r="AX5" s="48" t="s">
        <v>52</v>
      </c>
      <c r="AY5" s="48" t="s">
        <v>53</v>
      </c>
      <c r="AZ5" s="48"/>
      <c r="BA5" s="48" t="s">
        <v>60</v>
      </c>
      <c r="BB5" s="48" t="s">
        <v>60</v>
      </c>
      <c r="BC5" s="48" t="s">
        <v>60</v>
      </c>
      <c r="BD5" s="48" t="s">
        <v>60</v>
      </c>
      <c r="BE5" s="48" t="s">
        <v>60</v>
      </c>
      <c r="BF5" s="48" t="s">
        <v>60</v>
      </c>
      <c r="BG5" s="48">
        <f>IF(OR(RawData[[#This Row],[Existing partner and/or SHEEO?]]="Existing Partner",RawData[[#This Row],[Existing partner and/or SHEEO?]]="SHEEO",RawData[[#This Row],[Existing partner and/or SHEEO?]]="Both"),2,0)+IF(ISBLANK(RawData[[#This Row],[Contact with CUNY ASAP Replication Team? (Through Spring 2025)]]),0,1)</f>
        <v>1</v>
      </c>
      <c r="BH5" s="49" t="s">
        <v>53</v>
      </c>
      <c r="BI5" s="49" t="s">
        <v>53</v>
      </c>
      <c r="BJ5" s="49" t="s">
        <v>53</v>
      </c>
      <c r="BK5" s="49" t="s">
        <v>53</v>
      </c>
      <c r="BL5" s="49" t="s">
        <v>53</v>
      </c>
      <c r="BM5" s="49" t="s">
        <v>53</v>
      </c>
      <c r="BN5" s="49" t="s">
        <v>53</v>
      </c>
      <c r="BO5" s="48">
        <f t="shared" si="2"/>
        <v>6</v>
      </c>
    </row>
    <row r="6" spans="1:67" ht="39" x14ac:dyDescent="0.3">
      <c r="A6" s="50" t="s">
        <v>2</v>
      </c>
      <c r="B6" s="50" t="s">
        <v>63</v>
      </c>
      <c r="C6" s="50" t="s">
        <v>311</v>
      </c>
      <c r="D6" s="50" t="s">
        <v>311</v>
      </c>
      <c r="E6" s="50">
        <v>20933</v>
      </c>
      <c r="F6" s="50">
        <v>117</v>
      </c>
      <c r="G6" s="50">
        <v>61</v>
      </c>
      <c r="H6" s="50">
        <v>778030</v>
      </c>
      <c r="I6" s="50">
        <v>34</v>
      </c>
      <c r="J6" s="50">
        <v>0</v>
      </c>
      <c r="K6" s="50">
        <v>619471</v>
      </c>
      <c r="L6" s="51">
        <v>2796732812</v>
      </c>
      <c r="M6" s="51">
        <v>1687374</v>
      </c>
      <c r="N6" s="51"/>
      <c r="O6" s="51">
        <v>2798420186</v>
      </c>
      <c r="P6" s="51">
        <v>24258776422</v>
      </c>
      <c r="Q6" s="52">
        <v>1565065</v>
      </c>
      <c r="R6" s="22">
        <v>440659</v>
      </c>
      <c r="S6" s="51">
        <f t="shared" si="0"/>
        <v>15500.171828007144</v>
      </c>
      <c r="T6" s="53">
        <v>7.63</v>
      </c>
      <c r="U6" s="158">
        <v>0.86060000000000003</v>
      </c>
      <c r="V6" s="158">
        <v>0.14000000000000001</v>
      </c>
      <c r="W6" s="54">
        <f t="shared" si="1"/>
        <v>0.99939702621913551</v>
      </c>
      <c r="X6" s="55">
        <f>RawData[[#This Row],[Total State Aid]]/RawData[[#This Row],[Public high school graduates, 2022-23]]</f>
        <v>6350.5345085428871</v>
      </c>
      <c r="Y6" s="56">
        <v>0.33310000000000001</v>
      </c>
      <c r="Z6" s="57">
        <v>1.1025411519424477</v>
      </c>
      <c r="AA6" s="48">
        <v>5.3</v>
      </c>
      <c r="AB6" s="56">
        <v>0.45100000000000001</v>
      </c>
      <c r="AC6" s="151">
        <v>2319</v>
      </c>
      <c r="AD6" s="149">
        <v>1.1175999999999999</v>
      </c>
      <c r="AE6" s="149">
        <v>0.374</v>
      </c>
      <c r="AF6" s="150">
        <v>13.41</v>
      </c>
      <c r="AG6" s="23">
        <v>914726</v>
      </c>
      <c r="AH6" s="23">
        <v>763050</v>
      </c>
      <c r="AI6" s="23">
        <v>-151676</v>
      </c>
      <c r="AJ6" s="59">
        <v>-0.16581577062606812</v>
      </c>
      <c r="AK6" s="59">
        <v>-2.8000000000000001E-2</v>
      </c>
      <c r="AL6" s="23">
        <v>110906.49982833862</v>
      </c>
      <c r="AM6" s="23">
        <v>90583.333976745605</v>
      </c>
      <c r="AN6" s="23">
        <v>73175.832941532135</v>
      </c>
      <c r="AO6" s="59">
        <v>0.35912081599235535</v>
      </c>
      <c r="AP6" s="59">
        <v>0.69338548183441162</v>
      </c>
      <c r="AQ6" s="59">
        <v>0.38274019956588745</v>
      </c>
      <c r="AR6" s="59">
        <v>0.72099999999999997</v>
      </c>
      <c r="AS6" s="59">
        <v>0.874</v>
      </c>
      <c r="AT6" s="59">
        <v>0.53600000000000003</v>
      </c>
      <c r="AU6" s="161">
        <v>548251469</v>
      </c>
      <c r="AV6" s="161">
        <v>20644896357</v>
      </c>
      <c r="AW6" s="59">
        <v>2.7E-2</v>
      </c>
      <c r="AX6" s="48" t="s">
        <v>64</v>
      </c>
      <c r="AY6" s="48" t="s">
        <v>60</v>
      </c>
      <c r="AZ6" s="48" t="s">
        <v>66</v>
      </c>
      <c r="BA6" s="48" t="s">
        <v>60</v>
      </c>
      <c r="BB6" s="48" t="s">
        <v>53</v>
      </c>
      <c r="BC6" s="48" t="s">
        <v>60</v>
      </c>
      <c r="BD6" s="48" t="s">
        <v>60</v>
      </c>
      <c r="BE6" s="48" t="s">
        <v>60</v>
      </c>
      <c r="BF6" s="48" t="s">
        <v>53</v>
      </c>
      <c r="BG6" s="48">
        <f>IF(OR(RawData[[#This Row],[Existing partner and/or SHEEO?]]="Existing Partner",RawData[[#This Row],[Existing partner and/or SHEEO?]]="SHEEO",RawData[[#This Row],[Existing partner and/or SHEEO?]]="Both"),2,0)+IF(ISBLANK(RawData[[#This Row],[Contact with CUNY ASAP Replication Team? (Through Spring 2025)]]),0,1)</f>
        <v>3</v>
      </c>
      <c r="BH6" s="23" t="s">
        <v>60</v>
      </c>
      <c r="BI6" s="23" t="s">
        <v>60</v>
      </c>
      <c r="BJ6" s="23" t="s">
        <v>60</v>
      </c>
      <c r="BK6" s="49" t="s">
        <v>53</v>
      </c>
      <c r="BL6" s="49" t="s">
        <v>53</v>
      </c>
      <c r="BM6" s="49" t="s">
        <v>53</v>
      </c>
      <c r="BN6" s="49" t="s">
        <v>53</v>
      </c>
      <c r="BO6" s="48">
        <f t="shared" si="2"/>
        <v>4</v>
      </c>
    </row>
    <row r="7" spans="1:67" ht="39" x14ac:dyDescent="0.3">
      <c r="A7" s="50" t="s">
        <v>67</v>
      </c>
      <c r="B7" s="50" t="s">
        <v>68</v>
      </c>
      <c r="C7" s="50" t="s">
        <v>311</v>
      </c>
      <c r="D7" s="50" t="s">
        <v>311</v>
      </c>
      <c r="E7" s="50">
        <v>3156</v>
      </c>
      <c r="F7" s="50">
        <v>15</v>
      </c>
      <c r="G7" s="50">
        <v>4</v>
      </c>
      <c r="H7" s="50">
        <v>50965</v>
      </c>
      <c r="I7" s="50">
        <v>14</v>
      </c>
      <c r="J7" s="50">
        <v>2</v>
      </c>
      <c r="K7" s="50">
        <v>123698</v>
      </c>
      <c r="L7" s="51">
        <v>203399026</v>
      </c>
      <c r="M7" s="51">
        <v>1643700</v>
      </c>
      <c r="N7" s="51">
        <v>39165522</v>
      </c>
      <c r="O7" s="51">
        <v>244208248</v>
      </c>
      <c r="P7" s="51">
        <v>1431552952</v>
      </c>
      <c r="Q7" s="52">
        <v>182416</v>
      </c>
      <c r="R7" s="22">
        <v>59952</v>
      </c>
      <c r="S7" s="51">
        <f t="shared" si="0"/>
        <v>7847.737873870713</v>
      </c>
      <c r="T7" s="53">
        <v>3.27</v>
      </c>
      <c r="U7" s="158">
        <v>1.0166999999999999</v>
      </c>
      <c r="V7" s="158">
        <v>3.5000000000000003E-2</v>
      </c>
      <c r="W7" s="54">
        <f t="shared" si="1"/>
        <v>0.83289171297768783</v>
      </c>
      <c r="X7" s="55">
        <f>RawData[[#This Row],[Total State Aid]]/RawData[[#This Row],[Public high school graduates, 2022-23]]</f>
        <v>4073.3961836135577</v>
      </c>
      <c r="Y7" s="56">
        <v>0.21990000000000001</v>
      </c>
      <c r="Z7" s="57">
        <v>1.1534456654209031</v>
      </c>
      <c r="AA7" s="48">
        <v>4.3</v>
      </c>
      <c r="AB7" s="56">
        <v>0.54300000000000004</v>
      </c>
      <c r="AC7" s="151">
        <v>2386</v>
      </c>
      <c r="AD7" s="149">
        <v>0.73950000000000005</v>
      </c>
      <c r="AE7" s="149">
        <v>0.45700000000000002</v>
      </c>
      <c r="AF7" s="150">
        <v>23.94</v>
      </c>
      <c r="AG7" s="23">
        <v>57412</v>
      </c>
      <c r="AH7" s="23">
        <v>51996</v>
      </c>
      <c r="AI7" s="23">
        <v>-5416</v>
      </c>
      <c r="AJ7" s="59">
        <v>-9.4335675239562988E-2</v>
      </c>
      <c r="AK7" s="59">
        <v>-7.0000000000000007E-2</v>
      </c>
      <c r="AL7" s="23">
        <v>5937.333324432373</v>
      </c>
      <c r="AM7" s="23">
        <v>2355.5</v>
      </c>
      <c r="AN7" s="23">
        <v>1698.3333206176758</v>
      </c>
      <c r="AO7" s="59">
        <v>0.30316638946533203</v>
      </c>
      <c r="AP7" s="59">
        <v>0.57029646635055542</v>
      </c>
      <c r="AQ7" s="59">
        <v>0.39941117167472839</v>
      </c>
      <c r="AR7" s="59">
        <v>0.60199999999999998</v>
      </c>
      <c r="AS7" s="59">
        <v>0.79500000000000004</v>
      </c>
      <c r="AT7" s="59">
        <v>0.46800000000000003</v>
      </c>
      <c r="AU7" s="161">
        <v>889381410</v>
      </c>
      <c r="AV7" s="161">
        <v>1143818212</v>
      </c>
      <c r="AW7" s="59">
        <v>0.77800000000000002</v>
      </c>
      <c r="AX7" s="48" t="s">
        <v>136</v>
      </c>
      <c r="AY7" s="48" t="s">
        <v>60</v>
      </c>
      <c r="AZ7" s="48" t="s">
        <v>70</v>
      </c>
      <c r="BA7" s="48" t="s">
        <v>60</v>
      </c>
      <c r="BB7" s="48" t="s">
        <v>60</v>
      </c>
      <c r="BC7" s="48" t="s">
        <v>60</v>
      </c>
      <c r="BD7" s="48" t="s">
        <v>60</v>
      </c>
      <c r="BE7" s="48" t="s">
        <v>60</v>
      </c>
      <c r="BF7" s="48" t="s">
        <v>60</v>
      </c>
      <c r="BG7" s="48">
        <f>IF(OR(RawData[[#This Row],[Existing partner and/or SHEEO?]]="Existing Partner",RawData[[#This Row],[Existing partner and/or SHEEO?]]="SHEEO",RawData[[#This Row],[Existing partner and/or SHEEO?]]="Both"),2,0)+IF(ISBLANK(RawData[[#This Row],[Contact with CUNY ASAP Replication Team? (Through Spring 2025)]]),0,1)</f>
        <v>3</v>
      </c>
      <c r="BH7" s="49" t="s">
        <v>53</v>
      </c>
      <c r="BI7" s="49" t="s">
        <v>53</v>
      </c>
      <c r="BJ7" s="49" t="s">
        <v>53</v>
      </c>
      <c r="BK7" s="49" t="s">
        <v>53</v>
      </c>
      <c r="BL7" s="49" t="s">
        <v>53</v>
      </c>
      <c r="BM7" s="49" t="s">
        <v>53</v>
      </c>
      <c r="BN7" s="49" t="s">
        <v>53</v>
      </c>
      <c r="BO7" s="48">
        <f>COUNTIF(BA7:BF7,"Yes")</f>
        <v>6</v>
      </c>
    </row>
    <row r="8" spans="1:67" x14ac:dyDescent="0.3">
      <c r="A8" s="50" t="s">
        <v>71</v>
      </c>
      <c r="B8" s="50" t="s">
        <v>72</v>
      </c>
      <c r="C8" s="50" t="s">
        <v>311</v>
      </c>
      <c r="D8" s="50" t="s">
        <v>311</v>
      </c>
      <c r="E8" s="50">
        <v>1880</v>
      </c>
      <c r="F8" s="50">
        <v>12</v>
      </c>
      <c r="G8" s="50">
        <v>12</v>
      </c>
      <c r="H8" s="50">
        <v>29317</v>
      </c>
      <c r="I8" s="50">
        <v>11</v>
      </c>
      <c r="J8" s="50">
        <v>0</v>
      </c>
      <c r="K8" s="50">
        <v>46253</v>
      </c>
      <c r="L8" s="51">
        <v>32488718</v>
      </c>
      <c r="M8" s="51">
        <v>17437012</v>
      </c>
      <c r="N8" s="51">
        <v>141749156</v>
      </c>
      <c r="O8" s="51">
        <v>191674886</v>
      </c>
      <c r="P8" s="51">
        <v>1605807295</v>
      </c>
      <c r="Q8" s="52">
        <v>73958</v>
      </c>
      <c r="R8" s="22">
        <v>36729</v>
      </c>
      <c r="S8" s="51">
        <f t="shared" si="0"/>
        <v>21712.421847535086</v>
      </c>
      <c r="T8" s="53">
        <v>5.37</v>
      </c>
      <c r="U8" s="158">
        <v>0.51459999999999995</v>
      </c>
      <c r="V8" s="158">
        <v>5.0999999999999997E-2</v>
      </c>
      <c r="W8" s="54">
        <f t="shared" si="1"/>
        <v>0.16949908607223588</v>
      </c>
      <c r="X8" s="55">
        <f>RawData[[#This Row],[Total State Aid]]/RawData[[#This Row],[Public high school graduates, 2022-23]]</f>
        <v>5218.6252280214549</v>
      </c>
      <c r="Y8" s="56">
        <v>0.26929999999999998</v>
      </c>
      <c r="Z8" s="57">
        <v>0.81932282436538384</v>
      </c>
      <c r="AA8" s="48">
        <v>3.2</v>
      </c>
      <c r="AB8" s="56">
        <v>0.51500000000000001</v>
      </c>
      <c r="AC8" s="151">
        <v>2374</v>
      </c>
      <c r="AD8" s="149">
        <v>0.85709999999999997</v>
      </c>
      <c r="AE8" s="149">
        <v>0.439</v>
      </c>
      <c r="AF8" s="150">
        <v>10.99</v>
      </c>
      <c r="AG8" s="23">
        <v>28394</v>
      </c>
      <c r="AH8" s="23">
        <v>22169</v>
      </c>
      <c r="AI8" s="23">
        <f>AH8-AG8</f>
        <v>-6225</v>
      </c>
      <c r="AJ8" s="21">
        <f>AI8/AG8</f>
        <v>-0.21923645840670564</v>
      </c>
      <c r="AK8" s="21">
        <v>-9.6000000000000002E-2</v>
      </c>
      <c r="AL8" s="23">
        <v>6677.3333740234375</v>
      </c>
      <c r="AM8" s="23">
        <v>5132.9999694824219</v>
      </c>
      <c r="AN8" s="23">
        <v>2876.0000228881836</v>
      </c>
      <c r="AO8" s="59">
        <v>0.15909545123577118</v>
      </c>
      <c r="AP8" s="59">
        <v>0.56594586372375488</v>
      </c>
      <c r="AQ8" s="59">
        <v>0.39279091358184814</v>
      </c>
      <c r="AR8" s="59">
        <v>0.66700000000000004</v>
      </c>
      <c r="AS8" s="59">
        <v>0.82899999999999996</v>
      </c>
      <c r="AT8" s="59">
        <v>0.44</v>
      </c>
      <c r="AU8" s="161">
        <v>0</v>
      </c>
      <c r="AV8" s="161">
        <v>1223415112</v>
      </c>
      <c r="AW8" s="59">
        <v>0</v>
      </c>
      <c r="AX8" s="48" t="s">
        <v>52</v>
      </c>
      <c r="AY8" s="48" t="s">
        <v>53</v>
      </c>
      <c r="AZ8" s="48"/>
      <c r="BA8" s="48" t="s">
        <v>53</v>
      </c>
      <c r="BB8" s="48" t="s">
        <v>53</v>
      </c>
      <c r="BC8" s="48" t="s">
        <v>60</v>
      </c>
      <c r="BD8" s="48" t="s">
        <v>60</v>
      </c>
      <c r="BE8" s="48" t="s">
        <v>60</v>
      </c>
      <c r="BF8" s="48" t="s">
        <v>53</v>
      </c>
      <c r="BG8" s="48">
        <f>IF(OR(RawData[[#This Row],[Existing partner and/or SHEEO?]]="Existing Partner",RawData[[#This Row],[Existing partner and/or SHEEO?]]="SHEEO",RawData[[#This Row],[Existing partner and/or SHEEO?]]="Both"),2,0)+IF(ISBLANK(RawData[[#This Row],[Contact with CUNY ASAP Replication Team? (Through Spring 2025)]]),0,1)</f>
        <v>1</v>
      </c>
      <c r="BH8" s="49" t="s">
        <v>53</v>
      </c>
      <c r="BI8" s="49" t="s">
        <v>53</v>
      </c>
      <c r="BJ8" s="49" t="s">
        <v>53</v>
      </c>
      <c r="BK8" s="49" t="s">
        <v>53</v>
      </c>
      <c r="BL8" s="49" t="s">
        <v>53</v>
      </c>
      <c r="BM8" s="49" t="s">
        <v>53</v>
      </c>
      <c r="BN8" s="49" t="s">
        <v>53</v>
      </c>
      <c r="BO8" s="48">
        <f t="shared" si="2"/>
        <v>3</v>
      </c>
    </row>
    <row r="9" spans="1:67" x14ac:dyDescent="0.3">
      <c r="A9" s="50" t="s">
        <v>73</v>
      </c>
      <c r="B9" s="50" t="s">
        <v>74</v>
      </c>
      <c r="C9" s="50" t="s">
        <v>311</v>
      </c>
      <c r="D9" s="50" t="s">
        <v>311</v>
      </c>
      <c r="E9" s="50">
        <v>399</v>
      </c>
      <c r="F9" s="50">
        <v>1</v>
      </c>
      <c r="G9" s="50">
        <v>0</v>
      </c>
      <c r="H9" s="50">
        <v>7741</v>
      </c>
      <c r="I9" s="50">
        <v>2</v>
      </c>
      <c r="J9" s="50">
        <v>0</v>
      </c>
      <c r="K9" s="50">
        <v>23454</v>
      </c>
      <c r="L9" s="51">
        <v>18825200</v>
      </c>
      <c r="M9" s="51">
        <v>21073927</v>
      </c>
      <c r="N9" s="51">
        <v>9025</v>
      </c>
      <c r="O9" s="51">
        <v>39908152</v>
      </c>
      <c r="P9" s="51">
        <v>275699544</v>
      </c>
      <c r="Q9" s="52">
        <v>36134</v>
      </c>
      <c r="R9" s="22">
        <v>9686</v>
      </c>
      <c r="S9" s="51">
        <f t="shared" si="0"/>
        <v>7629.9204073725577</v>
      </c>
      <c r="T9" s="53">
        <v>4.59</v>
      </c>
      <c r="U9" s="158">
        <v>0.1953</v>
      </c>
      <c r="V9" s="158">
        <v>-0.14799999999999999</v>
      </c>
      <c r="W9" s="54">
        <f t="shared" si="1"/>
        <v>0.47171314772981721</v>
      </c>
      <c r="X9" s="55">
        <f>RawData[[#This Row],[Total State Aid]]/RawData[[#This Row],[Public high school graduates, 2022-23]]</f>
        <v>4120.189138963452</v>
      </c>
      <c r="Y9" s="56">
        <v>0.372</v>
      </c>
      <c r="Z9" s="57">
        <v>0.65189211686921289</v>
      </c>
      <c r="AA9" s="48">
        <v>3.7</v>
      </c>
      <c r="AB9" s="56">
        <v>0.44500000000000001</v>
      </c>
      <c r="AC9" s="151">
        <v>1375</v>
      </c>
      <c r="AD9" s="149">
        <v>0.78059999999999996</v>
      </c>
      <c r="AE9" s="149">
        <v>0.35699999999999998</v>
      </c>
      <c r="AF9" s="150">
        <v>15.61</v>
      </c>
      <c r="AG9" s="23">
        <v>8886</v>
      </c>
      <c r="AH9" s="23">
        <v>7251</v>
      </c>
      <c r="AI9" s="23">
        <v>-1635</v>
      </c>
      <c r="AJ9" s="59">
        <v>-0.18399730324745178</v>
      </c>
      <c r="AK9" s="59">
        <v>2.3E-2</v>
      </c>
      <c r="AL9" s="23">
        <v>1914</v>
      </c>
      <c r="AM9" s="23"/>
      <c r="AN9" s="23"/>
      <c r="AO9" s="59">
        <v>0.19784046709537506</v>
      </c>
      <c r="AP9" s="59"/>
      <c r="AQ9" s="59"/>
      <c r="AR9" s="59">
        <v>0.751</v>
      </c>
      <c r="AS9" s="59">
        <v>0.875</v>
      </c>
      <c r="AT9" s="59">
        <v>0.20300000000000001</v>
      </c>
      <c r="AU9" s="161">
        <v>0</v>
      </c>
      <c r="AV9" s="161">
        <v>253990300</v>
      </c>
      <c r="AW9" s="59">
        <v>0</v>
      </c>
      <c r="AX9" s="48" t="s">
        <v>52</v>
      </c>
      <c r="AY9" s="48" t="s">
        <v>53</v>
      </c>
      <c r="AZ9" s="48"/>
      <c r="BA9" s="48" t="s">
        <v>53</v>
      </c>
      <c r="BB9" s="48" t="s">
        <v>53</v>
      </c>
      <c r="BC9" s="48" t="s">
        <v>60</v>
      </c>
      <c r="BD9" s="48" t="s">
        <v>60</v>
      </c>
      <c r="BE9" s="48" t="s">
        <v>53</v>
      </c>
      <c r="BF9" s="48" t="s">
        <v>53</v>
      </c>
      <c r="BG9" s="48">
        <f>IF(OR(RawData[[#This Row],[Existing partner and/or SHEEO?]]="Existing Partner",RawData[[#This Row],[Existing partner and/or SHEEO?]]="SHEEO",RawData[[#This Row],[Existing partner and/or SHEEO?]]="Both"),2,0)+IF(ISBLANK(RawData[[#This Row],[Contact with CUNY ASAP Replication Team? (Through Spring 2025)]]),0,1)</f>
        <v>1</v>
      </c>
      <c r="BH9" s="49" t="s">
        <v>53</v>
      </c>
      <c r="BI9" s="49" t="s">
        <v>53</v>
      </c>
      <c r="BJ9" s="49" t="s">
        <v>53</v>
      </c>
      <c r="BK9" s="49" t="s">
        <v>53</v>
      </c>
      <c r="BL9" s="49" t="s">
        <v>53</v>
      </c>
      <c r="BM9" s="49" t="s">
        <v>53</v>
      </c>
      <c r="BN9" s="49" t="s">
        <v>53</v>
      </c>
      <c r="BO9" s="48">
        <f t="shared" si="2"/>
        <v>2</v>
      </c>
    </row>
    <row r="10" spans="1:67" x14ac:dyDescent="0.3">
      <c r="A10" s="50" t="s">
        <v>75</v>
      </c>
      <c r="B10" s="50" t="s">
        <v>76</v>
      </c>
      <c r="C10" s="50" t="s">
        <v>307</v>
      </c>
      <c r="D10" s="50" t="s">
        <v>307</v>
      </c>
      <c r="E10" s="50">
        <v>11221</v>
      </c>
      <c r="F10" s="50">
        <v>28</v>
      </c>
      <c r="G10" s="50">
        <v>1</v>
      </c>
      <c r="H10" s="50">
        <v>278703</v>
      </c>
      <c r="I10" s="50">
        <v>13</v>
      </c>
      <c r="J10" s="50">
        <v>0</v>
      </c>
      <c r="K10" s="50">
        <v>265228</v>
      </c>
      <c r="L10" s="51">
        <v>293854259</v>
      </c>
      <c r="M10" s="51">
        <v>664669634</v>
      </c>
      <c r="N10" s="51">
        <v>72082704</v>
      </c>
      <c r="O10" s="51">
        <v>1030606597</v>
      </c>
      <c r="P10" s="51">
        <v>6192271162</v>
      </c>
      <c r="Q10" s="52">
        <v>566755</v>
      </c>
      <c r="R10" s="22">
        <v>190683</v>
      </c>
      <c r="S10" s="51">
        <f t="shared" si="0"/>
        <v>10925.834199962947</v>
      </c>
      <c r="T10" s="53">
        <v>4.3499999999999996</v>
      </c>
      <c r="U10" s="158">
        <v>0.69789999999999996</v>
      </c>
      <c r="V10" s="158">
        <v>-7.8E-2</v>
      </c>
      <c r="W10" s="54">
        <f t="shared" si="1"/>
        <v>0.28512747721136505</v>
      </c>
      <c r="X10" s="55">
        <f>RawData[[#This Row],[Total State Aid]]/RawData[[#This Row],[Public high school graduates, 2022-23]]</f>
        <v>5404.816354892675</v>
      </c>
      <c r="Y10" s="56">
        <v>0.28489999999999999</v>
      </c>
      <c r="Z10" s="57">
        <v>1.3234072148061908</v>
      </c>
      <c r="AA10" s="48">
        <v>3.4</v>
      </c>
      <c r="AB10" s="56">
        <v>0.44900000000000001</v>
      </c>
      <c r="AC10" s="151">
        <v>1745</v>
      </c>
      <c r="AD10" s="149">
        <v>0.69679999999999997</v>
      </c>
      <c r="AE10" s="149">
        <v>0.33900000000000002</v>
      </c>
      <c r="AF10" s="150">
        <v>15.3</v>
      </c>
      <c r="AG10" s="23">
        <v>317456</v>
      </c>
      <c r="AH10" s="23">
        <v>269431</v>
      </c>
      <c r="AI10" s="23">
        <v>-48025</v>
      </c>
      <c r="AJ10" s="59">
        <v>-0.15128080546855927</v>
      </c>
      <c r="AK10" s="59">
        <v>1.7999999999999999E-2</v>
      </c>
      <c r="AL10" s="23">
        <v>46443.000396728516</v>
      </c>
      <c r="AM10" s="23">
        <v>3186</v>
      </c>
      <c r="AN10" s="23">
        <v>1500</v>
      </c>
      <c r="AO10" s="59">
        <v>0.41173768043518066</v>
      </c>
      <c r="AP10" s="59">
        <v>0.60828626155853271</v>
      </c>
      <c r="AQ10" s="59">
        <v>0.47999998927116394</v>
      </c>
      <c r="AR10" s="59">
        <v>0.74199999999999999</v>
      </c>
      <c r="AS10" s="59">
        <v>0.9</v>
      </c>
      <c r="AT10" s="59">
        <v>0.76200000000000001</v>
      </c>
      <c r="AU10" s="161">
        <v>400000000</v>
      </c>
      <c r="AV10" s="161">
        <v>5566378793</v>
      </c>
      <c r="AW10" s="59">
        <v>7.1999999999999995E-2</v>
      </c>
      <c r="AX10" s="48" t="s">
        <v>52</v>
      </c>
      <c r="AY10" s="48" t="s">
        <v>53</v>
      </c>
      <c r="AZ10" s="48"/>
      <c r="BA10" s="48" t="s">
        <v>60</v>
      </c>
      <c r="BB10" s="48" t="s">
        <v>60</v>
      </c>
      <c r="BC10" s="48" t="s">
        <v>53</v>
      </c>
      <c r="BD10" s="48" t="s">
        <v>60</v>
      </c>
      <c r="BE10" s="48" t="s">
        <v>60</v>
      </c>
      <c r="BF10" s="48" t="s">
        <v>60</v>
      </c>
      <c r="BG10" s="48">
        <f>IF(OR(RawData[[#This Row],[Existing partner and/or SHEEO?]]="Existing Partner",RawData[[#This Row],[Existing partner and/or SHEEO?]]="SHEEO",RawData[[#This Row],[Existing partner and/or SHEEO?]]="Both"),2,0)+IF(ISBLANK(RawData[[#This Row],[Contact with CUNY ASAP Replication Team? (Through Spring 2025)]]),0,1)</f>
        <v>1</v>
      </c>
      <c r="BH10" s="23" t="s">
        <v>60</v>
      </c>
      <c r="BI10" s="23" t="s">
        <v>60</v>
      </c>
      <c r="BJ10" s="49" t="s">
        <v>53</v>
      </c>
      <c r="BK10" s="49" t="s">
        <v>53</v>
      </c>
      <c r="BL10" s="49" t="s">
        <v>53</v>
      </c>
      <c r="BM10" s="49" t="s">
        <v>53</v>
      </c>
      <c r="BN10" s="49" t="s">
        <v>53</v>
      </c>
      <c r="BO10" s="48">
        <f t="shared" si="2"/>
        <v>5</v>
      </c>
    </row>
    <row r="11" spans="1:67" x14ac:dyDescent="0.3">
      <c r="A11" s="50" t="s">
        <v>77</v>
      </c>
      <c r="B11" s="50" t="s">
        <v>78</v>
      </c>
      <c r="C11" s="50" t="s">
        <v>307</v>
      </c>
      <c r="D11" s="50" t="s">
        <v>307</v>
      </c>
      <c r="E11" s="50">
        <v>5671</v>
      </c>
      <c r="F11" s="50">
        <v>30</v>
      </c>
      <c r="G11" s="50">
        <v>9</v>
      </c>
      <c r="H11" s="50">
        <v>90780</v>
      </c>
      <c r="I11" s="50">
        <v>20</v>
      </c>
      <c r="J11" s="50">
        <v>7</v>
      </c>
      <c r="K11" s="50">
        <v>210655</v>
      </c>
      <c r="L11" s="51">
        <v>8318727</v>
      </c>
      <c r="M11" s="51">
        <v>938796012</v>
      </c>
      <c r="N11" s="51">
        <v>24643874</v>
      </c>
      <c r="O11" s="51">
        <v>971758613</v>
      </c>
      <c r="P11" s="51">
        <v>4625058914</v>
      </c>
      <c r="Q11" s="52">
        <v>355827</v>
      </c>
      <c r="R11" s="22">
        <v>115718</v>
      </c>
      <c r="S11" s="51">
        <f t="shared" si="0"/>
        <v>12998.054993016269</v>
      </c>
      <c r="T11" s="53">
        <v>6.82</v>
      </c>
      <c r="U11" s="158">
        <v>0.66459999999999997</v>
      </c>
      <c r="V11" s="158">
        <v>-5.6000000000000001E-2</v>
      </c>
      <c r="W11" s="54">
        <f t="shared" si="1"/>
        <v>8.56048702703909E-3</v>
      </c>
      <c r="X11" s="55">
        <f>RawData[[#This Row],[Total State Aid]]/RawData[[#This Row],[Public high school graduates, 2022-23]]</f>
        <v>8397.6443854888603</v>
      </c>
      <c r="Y11" s="56">
        <v>0.28570000000000001</v>
      </c>
      <c r="Z11" s="57">
        <v>0.50605351083880212</v>
      </c>
      <c r="AA11" s="48">
        <v>3.5</v>
      </c>
      <c r="AB11" s="56">
        <v>0.44400000000000001</v>
      </c>
      <c r="AC11" s="151">
        <v>1615</v>
      </c>
      <c r="AD11" s="149">
        <v>0.85099999999999998</v>
      </c>
      <c r="AE11" s="149">
        <v>0.35699999999999998</v>
      </c>
      <c r="AF11" s="150">
        <v>12.31</v>
      </c>
      <c r="AG11" s="23">
        <v>105410</v>
      </c>
      <c r="AH11" s="23">
        <v>89402</v>
      </c>
      <c r="AI11" s="23">
        <v>-16008</v>
      </c>
      <c r="AJ11" s="59">
        <v>-0.15186415612697601</v>
      </c>
      <c r="AK11" s="59">
        <v>-1.7000000000000001E-2</v>
      </c>
      <c r="AL11" s="23">
        <v>12877.666506290436</v>
      </c>
      <c r="AM11" s="23">
        <v>8519.6665916442871</v>
      </c>
      <c r="AN11" s="23">
        <v>8762.0000166893005</v>
      </c>
      <c r="AO11" s="59">
        <v>0.32612016797065735</v>
      </c>
      <c r="AP11" s="59">
        <v>0.60710513591766357</v>
      </c>
      <c r="AQ11" s="59">
        <v>0.45569884777069092</v>
      </c>
      <c r="AR11" s="59">
        <v>0.55300000000000005</v>
      </c>
      <c r="AS11" s="59">
        <v>0.77100000000000002</v>
      </c>
      <c r="AT11" s="59">
        <v>0.48699999999999999</v>
      </c>
      <c r="AU11" s="161">
        <v>0</v>
      </c>
      <c r="AV11" s="161">
        <v>3357742416</v>
      </c>
      <c r="AW11" s="59">
        <v>0</v>
      </c>
      <c r="AX11" s="48" t="s">
        <v>52</v>
      </c>
      <c r="AY11" s="48" t="s">
        <v>60</v>
      </c>
      <c r="AZ11" s="48" t="s">
        <v>80</v>
      </c>
      <c r="BA11" s="48" t="s">
        <v>53</v>
      </c>
      <c r="BB11" s="48" t="s">
        <v>53</v>
      </c>
      <c r="BC11" s="48" t="s">
        <v>60</v>
      </c>
      <c r="BD11" s="48" t="s">
        <v>60</v>
      </c>
      <c r="BE11" s="48" t="s">
        <v>60</v>
      </c>
      <c r="BF11" s="48" t="s">
        <v>60</v>
      </c>
      <c r="BG11" s="48">
        <f>IF(OR(RawData[[#This Row],[Existing partner and/or SHEEO?]]="Existing Partner",RawData[[#This Row],[Existing partner and/or SHEEO?]]="SHEEO",RawData[[#This Row],[Existing partner and/or SHEEO?]]="Both"),2,0)+IF(ISBLANK(RawData[[#This Row],[Contact with CUNY ASAP Replication Team? (Through Spring 2025)]]),0,1)</f>
        <v>1</v>
      </c>
      <c r="BH11" s="23" t="s">
        <v>60</v>
      </c>
      <c r="BI11" s="49" t="s">
        <v>53</v>
      </c>
      <c r="BJ11" s="49" t="s">
        <v>53</v>
      </c>
      <c r="BK11" s="49" t="s">
        <v>53</v>
      </c>
      <c r="BL11" s="49" t="s">
        <v>53</v>
      </c>
      <c r="BM11" s="49" t="s">
        <v>53</v>
      </c>
      <c r="BN11" s="49" t="s">
        <v>53</v>
      </c>
      <c r="BO11" s="48">
        <f t="shared" si="2"/>
        <v>4</v>
      </c>
    </row>
    <row r="12" spans="1:67" x14ac:dyDescent="0.3">
      <c r="A12" s="50" t="s">
        <v>81</v>
      </c>
      <c r="B12" s="50" t="s">
        <v>82</v>
      </c>
      <c r="C12" s="50" t="s">
        <v>311</v>
      </c>
      <c r="D12" s="50" t="s">
        <v>311</v>
      </c>
      <c r="E12" s="50">
        <v>740</v>
      </c>
      <c r="F12" s="50">
        <v>7</v>
      </c>
      <c r="G12" s="50">
        <v>6</v>
      </c>
      <c r="H12" s="50">
        <v>12480</v>
      </c>
      <c r="I12" s="50">
        <v>3</v>
      </c>
      <c r="J12" s="50">
        <v>0</v>
      </c>
      <c r="K12" s="50">
        <v>17063</v>
      </c>
      <c r="L12" s="51">
        <v>6799977</v>
      </c>
      <c r="M12" s="51"/>
      <c r="N12" s="51">
        <v>331911</v>
      </c>
      <c r="O12" s="51">
        <v>7131888</v>
      </c>
      <c r="P12" s="51">
        <v>844156002</v>
      </c>
      <c r="Q12" s="52">
        <v>32363</v>
      </c>
      <c r="R12" s="22">
        <v>11358</v>
      </c>
      <c r="S12" s="51">
        <f t="shared" si="0"/>
        <v>26083.984859252851</v>
      </c>
      <c r="T12" s="53">
        <v>8.7100000000000009</v>
      </c>
      <c r="U12" s="158">
        <v>1.0141</v>
      </c>
      <c r="V12" s="158">
        <v>-1.4999999999999999E-2</v>
      </c>
      <c r="W12" s="54">
        <f t="shared" si="1"/>
        <v>0.95346099097461989</v>
      </c>
      <c r="X12" s="55">
        <f>RawData[[#This Row],[Total State Aid]]/RawData[[#This Row],[Public high school graduates, 2022-23]]</f>
        <v>627.9175911251981</v>
      </c>
      <c r="Y12" s="56">
        <v>0.24399999999999999</v>
      </c>
      <c r="Z12" s="57">
        <v>0</v>
      </c>
      <c r="AA12" s="48">
        <v>3</v>
      </c>
      <c r="AB12" s="56">
        <v>0.48</v>
      </c>
      <c r="AC12" s="151">
        <v>1955</v>
      </c>
      <c r="AD12" s="149">
        <v>0.57889999999999997</v>
      </c>
      <c r="AE12" s="149">
        <v>0.36099999999999999</v>
      </c>
      <c r="AF12" s="150">
        <v>0</v>
      </c>
      <c r="AG12" s="23">
        <v>14819</v>
      </c>
      <c r="AH12" s="23">
        <v>11619</v>
      </c>
      <c r="AI12" s="23">
        <v>-3200</v>
      </c>
      <c r="AJ12" s="59">
        <v>-0.215939000248909</v>
      </c>
      <c r="AK12" s="59">
        <v>7.0000000000000001E-3</v>
      </c>
      <c r="AL12" s="23">
        <v>2215</v>
      </c>
      <c r="AM12" s="23">
        <v>1959.999981880188</v>
      </c>
      <c r="AN12" s="23">
        <v>1228.0000128746033</v>
      </c>
      <c r="AO12" s="59">
        <v>0.27569600939750671</v>
      </c>
      <c r="AP12" s="59">
        <v>0.6448979377746582</v>
      </c>
      <c r="AQ12" s="59">
        <v>0.47122693061828613</v>
      </c>
      <c r="AR12" s="59">
        <v>0.56200000000000006</v>
      </c>
      <c r="AS12" s="59">
        <v>0.77300000000000002</v>
      </c>
      <c r="AT12" s="59">
        <v>0.47099999999999997</v>
      </c>
      <c r="AU12" s="161">
        <v>1932165</v>
      </c>
      <c r="AV12" s="161">
        <v>721159718</v>
      </c>
      <c r="AW12" s="59">
        <v>3.0000000000000001E-3</v>
      </c>
      <c r="AX12" s="48" t="s">
        <v>52</v>
      </c>
      <c r="AY12" s="48" t="s">
        <v>53</v>
      </c>
      <c r="AZ12" s="48"/>
      <c r="BA12" s="48" t="s">
        <v>60</v>
      </c>
      <c r="BB12" s="48" t="s">
        <v>60</v>
      </c>
      <c r="BC12" s="48" t="s">
        <v>60</v>
      </c>
      <c r="BD12" s="48" t="s">
        <v>60</v>
      </c>
      <c r="BE12" s="48" t="s">
        <v>60</v>
      </c>
      <c r="BF12" s="48" t="s">
        <v>60</v>
      </c>
      <c r="BG12" s="48">
        <f>IF(OR(RawData[[#This Row],[Existing partner and/or SHEEO?]]="Existing Partner",RawData[[#This Row],[Existing partner and/or SHEEO?]]="SHEEO",RawData[[#This Row],[Existing partner and/or SHEEO?]]="Both"),2,0)+IF(ISBLANK(RawData[[#This Row],[Contact with CUNY ASAP Replication Team? (Through Spring 2025)]]),0,1)</f>
        <v>1</v>
      </c>
      <c r="BH12" s="49" t="s">
        <v>53</v>
      </c>
      <c r="BI12" s="49" t="s">
        <v>53</v>
      </c>
      <c r="BJ12" s="49" t="s">
        <v>53</v>
      </c>
      <c r="BK12" s="49" t="s">
        <v>53</v>
      </c>
      <c r="BL12" s="49" t="s">
        <v>53</v>
      </c>
      <c r="BM12" s="49" t="s">
        <v>53</v>
      </c>
      <c r="BN12" s="49" t="s">
        <v>53</v>
      </c>
      <c r="BO12" s="48">
        <f t="shared" si="2"/>
        <v>6</v>
      </c>
    </row>
    <row r="13" spans="1:67" x14ac:dyDescent="0.3">
      <c r="A13" s="50" t="s">
        <v>83</v>
      </c>
      <c r="B13" s="50" t="s">
        <v>84</v>
      </c>
      <c r="C13" s="50" t="s">
        <v>307</v>
      </c>
      <c r="D13" s="50" t="s">
        <v>307</v>
      </c>
      <c r="E13" s="50">
        <v>932</v>
      </c>
      <c r="F13" s="50">
        <v>4</v>
      </c>
      <c r="G13" s="50">
        <v>2</v>
      </c>
      <c r="H13" s="50">
        <v>14854</v>
      </c>
      <c r="I13" s="50">
        <v>4</v>
      </c>
      <c r="J13" s="50">
        <v>0</v>
      </c>
      <c r="K13" s="50">
        <v>32578</v>
      </c>
      <c r="L13" s="51">
        <v>20347354</v>
      </c>
      <c r="M13" s="51">
        <v>298945</v>
      </c>
      <c r="N13" s="51">
        <v>951409</v>
      </c>
      <c r="O13" s="51">
        <v>21597708</v>
      </c>
      <c r="P13" s="51">
        <v>632151260</v>
      </c>
      <c r="Q13" s="52">
        <v>54311</v>
      </c>
      <c r="R13" s="22">
        <v>21549</v>
      </c>
      <c r="S13" s="51">
        <f t="shared" si="0"/>
        <v>11639.470088932261</v>
      </c>
      <c r="T13" s="53">
        <v>5.89</v>
      </c>
      <c r="U13" s="158">
        <v>0.63849999999999996</v>
      </c>
      <c r="V13" s="158">
        <v>-0.129</v>
      </c>
      <c r="W13" s="54">
        <f t="shared" si="1"/>
        <v>0.94210709766054801</v>
      </c>
      <c r="X13" s="55">
        <f>RawData[[#This Row],[Total State Aid]]/RawData[[#This Row],[Public high school graduates, 2022-23]]</f>
        <v>1002.2603369065849</v>
      </c>
      <c r="Y13" s="56">
        <v>0.15679999999999999</v>
      </c>
      <c r="Z13" s="57">
        <v>1.1052759219396198</v>
      </c>
      <c r="AA13" s="48">
        <v>3.7</v>
      </c>
      <c r="AB13" s="56">
        <v>0.41599999999999998</v>
      </c>
      <c r="AC13" s="151">
        <v>1442</v>
      </c>
      <c r="AD13" s="149">
        <v>0.52780000000000005</v>
      </c>
      <c r="AE13" s="149">
        <v>0.314</v>
      </c>
      <c r="AF13" s="150">
        <v>14.13</v>
      </c>
      <c r="AG13" s="23">
        <v>14833</v>
      </c>
      <c r="AH13" s="23">
        <v>14911</v>
      </c>
      <c r="AI13" s="23">
        <v>78</v>
      </c>
      <c r="AJ13" s="59">
        <v>5.2585452795028687E-3</v>
      </c>
      <c r="AK13" s="59">
        <v>-1.6E-2</v>
      </c>
      <c r="AL13" s="23">
        <v>2267.3333129882813</v>
      </c>
      <c r="AM13" s="23">
        <v>1654.6666412353516</v>
      </c>
      <c r="AN13" s="23">
        <v>1127.3333435058594</v>
      </c>
      <c r="AO13" s="59">
        <v>0.29608938097953796</v>
      </c>
      <c r="AP13" s="59">
        <v>0.57796132564544678</v>
      </c>
      <c r="AQ13" s="59">
        <v>0.4266706109046936</v>
      </c>
      <c r="AR13" s="59">
        <v>0.53300000000000003</v>
      </c>
      <c r="AS13" s="59">
        <v>0.74199999999999999</v>
      </c>
      <c r="AT13" s="59">
        <v>0.377</v>
      </c>
      <c r="AU13" s="161">
        <v>0</v>
      </c>
      <c r="AV13" s="161">
        <v>599156707</v>
      </c>
      <c r="AW13" s="59">
        <v>0</v>
      </c>
      <c r="AX13" s="48" t="s">
        <v>52</v>
      </c>
      <c r="AY13" s="48" t="s">
        <v>53</v>
      </c>
      <c r="AZ13" s="48"/>
      <c r="BA13" s="48" t="s">
        <v>53</v>
      </c>
      <c r="BB13" s="48" t="s">
        <v>53</v>
      </c>
      <c r="BC13" s="48" t="s">
        <v>53</v>
      </c>
      <c r="BD13" s="48" t="s">
        <v>60</v>
      </c>
      <c r="BE13" s="48" t="s">
        <v>60</v>
      </c>
      <c r="BF13" s="48" t="s">
        <v>60</v>
      </c>
      <c r="BG13" s="48">
        <f>IF(OR(RawData[[#This Row],[Existing partner and/or SHEEO?]]="Existing Partner",RawData[[#This Row],[Existing partner and/or SHEEO?]]="SHEEO",RawData[[#This Row],[Existing partner and/or SHEEO?]]="Both"),2,0)+IF(ISBLANK(RawData[[#This Row],[Contact with CUNY ASAP Replication Team? (Through Spring 2025)]]),0,1)</f>
        <v>1</v>
      </c>
      <c r="BH13" s="49" t="s">
        <v>53</v>
      </c>
      <c r="BI13" s="23" t="s">
        <v>60</v>
      </c>
      <c r="BJ13" s="49" t="s">
        <v>53</v>
      </c>
      <c r="BK13" s="49" t="s">
        <v>53</v>
      </c>
      <c r="BL13" s="49" t="s">
        <v>53</v>
      </c>
      <c r="BM13" s="49" t="s">
        <v>53</v>
      </c>
      <c r="BN13" s="49" t="s">
        <v>53</v>
      </c>
      <c r="BO13" s="48">
        <f t="shared" si="2"/>
        <v>3</v>
      </c>
    </row>
    <row r="14" spans="1:67" x14ac:dyDescent="0.3">
      <c r="A14" s="50" t="s">
        <v>85</v>
      </c>
      <c r="B14" s="50" t="s">
        <v>86</v>
      </c>
      <c r="C14" s="50" t="s">
        <v>311</v>
      </c>
      <c r="D14" s="50" t="s">
        <v>311</v>
      </c>
      <c r="E14" s="50">
        <v>6637</v>
      </c>
      <c r="F14" s="50">
        <v>48</v>
      </c>
      <c r="G14" s="50">
        <v>21</v>
      </c>
      <c r="H14" s="50">
        <v>158369</v>
      </c>
      <c r="I14" s="50">
        <v>12</v>
      </c>
      <c r="J14" s="50">
        <v>3</v>
      </c>
      <c r="K14" s="50">
        <v>118389</v>
      </c>
      <c r="L14" s="51">
        <v>598017290</v>
      </c>
      <c r="M14" s="51">
        <v>830917</v>
      </c>
      <c r="N14" s="51">
        <v>6855277</v>
      </c>
      <c r="O14" s="51">
        <v>605703484</v>
      </c>
      <c r="P14" s="51">
        <v>6306979863</v>
      </c>
      <c r="Q14" s="52">
        <v>283714</v>
      </c>
      <c r="R14" s="22">
        <v>133737</v>
      </c>
      <c r="S14" s="51">
        <f t="shared" si="0"/>
        <v>22230.062185863229</v>
      </c>
      <c r="T14" s="53">
        <v>7.44</v>
      </c>
      <c r="U14" s="158">
        <v>0.60170000000000001</v>
      </c>
      <c r="V14" s="158">
        <v>-9.5000000000000001E-2</v>
      </c>
      <c r="W14" s="54">
        <f t="shared" si="1"/>
        <v>0.98731030247796958</v>
      </c>
      <c r="X14" s="55">
        <f>RawData[[#This Row],[Total State Aid]]/RawData[[#This Row],[Public high school graduates, 2022-23]]</f>
        <v>4529.0643875666419</v>
      </c>
      <c r="Y14" s="56">
        <v>0.3</v>
      </c>
      <c r="Z14" s="57">
        <v>0.81215073939619686</v>
      </c>
      <c r="AA14" s="48">
        <v>5</v>
      </c>
      <c r="AB14" s="56">
        <v>0.48499999999999999</v>
      </c>
      <c r="AC14" s="151">
        <v>2902</v>
      </c>
      <c r="AD14" s="149">
        <v>0.93330000000000002</v>
      </c>
      <c r="AE14" s="149">
        <v>0.39700000000000002</v>
      </c>
      <c r="AF14" s="150">
        <v>15.54</v>
      </c>
      <c r="AG14" s="23">
        <v>192124</v>
      </c>
      <c r="AH14" s="23">
        <v>159205</v>
      </c>
      <c r="AI14" s="23">
        <v>-32919</v>
      </c>
      <c r="AJ14" s="59">
        <v>-0.17134246230125427</v>
      </c>
      <c r="AK14" s="59">
        <v>-5.1999999999999998E-2</v>
      </c>
      <c r="AL14" s="23">
        <v>26357.666732788086</v>
      </c>
      <c r="AM14" s="23">
        <v>25100.666641235352</v>
      </c>
      <c r="AN14" s="23">
        <v>10964.33327293396</v>
      </c>
      <c r="AO14" s="59">
        <v>0.34690728783607483</v>
      </c>
      <c r="AP14" s="59">
        <v>0.65606492757797241</v>
      </c>
      <c r="AQ14" s="59">
        <v>0.45787858963012695</v>
      </c>
      <c r="AR14" s="59">
        <v>0.64100000000000001</v>
      </c>
      <c r="AS14" s="59">
        <v>0.82099999999999995</v>
      </c>
      <c r="AT14" s="59">
        <v>0.41499999999999998</v>
      </c>
      <c r="AU14" s="161">
        <v>359000</v>
      </c>
      <c r="AV14" s="161">
        <v>5766162763</v>
      </c>
      <c r="AW14" s="59">
        <v>0</v>
      </c>
      <c r="AX14" s="48" t="s">
        <v>52</v>
      </c>
      <c r="AY14" s="48" t="s">
        <v>53</v>
      </c>
      <c r="AZ14" s="48"/>
      <c r="BA14" s="48" t="s">
        <v>60</v>
      </c>
      <c r="BB14" s="48" t="s">
        <v>53</v>
      </c>
      <c r="BC14" s="48" t="s">
        <v>53</v>
      </c>
      <c r="BD14" s="48" t="s">
        <v>60</v>
      </c>
      <c r="BE14" s="48" t="s">
        <v>60</v>
      </c>
      <c r="BF14" s="48" t="s">
        <v>60</v>
      </c>
      <c r="BG14" s="48">
        <f>IF(OR(RawData[[#This Row],[Existing partner and/or SHEEO?]]="Existing Partner",RawData[[#This Row],[Existing partner and/or SHEEO?]]="SHEEO",RawData[[#This Row],[Existing partner and/or SHEEO?]]="Both"),2,0)+IF(ISBLANK(RawData[[#This Row],[Contact with CUNY ASAP Replication Team? (Through Spring 2025)]]),0,1)</f>
        <v>1</v>
      </c>
      <c r="BH14" s="49" t="s">
        <v>53</v>
      </c>
      <c r="BI14" s="23" t="s">
        <v>60</v>
      </c>
      <c r="BJ14" s="49" t="s">
        <v>53</v>
      </c>
      <c r="BK14" s="49" t="s">
        <v>53</v>
      </c>
      <c r="BL14" s="49" t="s">
        <v>53</v>
      </c>
      <c r="BM14" s="23" t="s">
        <v>60</v>
      </c>
      <c r="BN14" s="49" t="s">
        <v>53</v>
      </c>
      <c r="BO14" s="48">
        <f t="shared" si="2"/>
        <v>4</v>
      </c>
    </row>
    <row r="15" spans="1:67" ht="26" x14ac:dyDescent="0.3">
      <c r="A15" s="50" t="s">
        <v>87</v>
      </c>
      <c r="B15" s="50" t="s">
        <v>88</v>
      </c>
      <c r="C15" s="50" t="s">
        <v>307</v>
      </c>
      <c r="D15" s="50" t="s">
        <v>307</v>
      </c>
      <c r="E15" s="50">
        <v>3442</v>
      </c>
      <c r="F15" s="50">
        <v>2</v>
      </c>
      <c r="G15" s="50">
        <v>2</v>
      </c>
      <c r="H15" s="50">
        <v>61796</v>
      </c>
      <c r="I15" s="50">
        <v>14</v>
      </c>
      <c r="J15" s="50">
        <v>1</v>
      </c>
      <c r="K15" s="50">
        <v>181780</v>
      </c>
      <c r="L15" s="51">
        <v>272255104</v>
      </c>
      <c r="M15" s="51">
        <v>13864947</v>
      </c>
      <c r="N15" s="51">
        <v>39609045</v>
      </c>
      <c r="O15" s="51">
        <v>325729096</v>
      </c>
      <c r="P15" s="51">
        <v>1912685216</v>
      </c>
      <c r="Q15" s="52">
        <v>243770</v>
      </c>
      <c r="R15" s="22">
        <v>70844</v>
      </c>
      <c r="S15" s="51">
        <f t="shared" si="0"/>
        <v>7846.2699101612179</v>
      </c>
      <c r="T15" s="53">
        <v>4.9800000000000004</v>
      </c>
      <c r="U15" s="158">
        <v>0.21990000000000001</v>
      </c>
      <c r="V15" s="158">
        <v>-0.219</v>
      </c>
      <c r="W15" s="54">
        <f t="shared" si="1"/>
        <v>0.83583292786346608</v>
      </c>
      <c r="X15" s="55">
        <f>RawData[[#This Row],[Total State Aid]]/RawData[[#This Row],[Public high school graduates, 2022-23]]</f>
        <v>4597.8360341030993</v>
      </c>
      <c r="Y15" s="56">
        <v>0.28179999999999999</v>
      </c>
      <c r="Z15" s="57">
        <v>1.1680572940819591</v>
      </c>
      <c r="AA15" s="48">
        <v>4.2</v>
      </c>
      <c r="AB15" s="56">
        <v>0.40500000000000003</v>
      </c>
      <c r="AC15" s="151">
        <v>2304</v>
      </c>
      <c r="AD15" s="149">
        <v>0.59079999999999999</v>
      </c>
      <c r="AE15" s="149">
        <v>0.30599999999999999</v>
      </c>
      <c r="AF15" s="150">
        <v>10.66</v>
      </c>
      <c r="AG15" s="23">
        <v>63898</v>
      </c>
      <c r="AH15" s="23">
        <v>62488</v>
      </c>
      <c r="AI15" s="23">
        <v>-1410</v>
      </c>
      <c r="AJ15" s="59">
        <v>-2.2066418081521988E-2</v>
      </c>
      <c r="AK15" s="59">
        <v>1E-3</v>
      </c>
      <c r="AL15" s="23">
        <v>5340.6666679382324</v>
      </c>
      <c r="AM15" s="23">
        <v>4804.3333339691162</v>
      </c>
      <c r="AN15" s="23">
        <v>6912.9998371601105</v>
      </c>
      <c r="AO15" s="59">
        <v>0.32112094759941101</v>
      </c>
      <c r="AP15" s="59">
        <v>0.56116008758544922</v>
      </c>
      <c r="AQ15" s="59">
        <v>0.41323113441467285</v>
      </c>
      <c r="AR15" s="59">
        <v>0.64500000000000002</v>
      </c>
      <c r="AS15" s="59">
        <v>0.80600000000000005</v>
      </c>
      <c r="AT15" s="59">
        <v>0.40300000000000002</v>
      </c>
      <c r="AU15" s="161">
        <v>23897181</v>
      </c>
      <c r="AV15" s="161">
        <v>1356725713</v>
      </c>
      <c r="AW15" s="59">
        <v>1.7999999999999999E-2</v>
      </c>
      <c r="AX15" s="48" t="s">
        <v>52</v>
      </c>
      <c r="AY15" s="48" t="s">
        <v>60</v>
      </c>
      <c r="AZ15" s="48" t="s">
        <v>89</v>
      </c>
      <c r="BA15" s="48" t="s">
        <v>60</v>
      </c>
      <c r="BB15" s="48" t="s">
        <v>60</v>
      </c>
      <c r="BC15" s="48" t="s">
        <v>60</v>
      </c>
      <c r="BD15" s="48" t="s">
        <v>60</v>
      </c>
      <c r="BE15" s="48" t="s">
        <v>60</v>
      </c>
      <c r="BF15" s="48" t="s">
        <v>60</v>
      </c>
      <c r="BG15" s="48">
        <f>IF(OR(RawData[[#This Row],[Existing partner and/or SHEEO?]]="Existing Partner",RawData[[#This Row],[Existing partner and/or SHEEO?]]="SHEEO",RawData[[#This Row],[Existing partner and/or SHEEO?]]="Both"),2,0)+IF(ISBLANK(RawData[[#This Row],[Contact with CUNY ASAP Replication Team? (Through Spring 2025)]]),0,1)</f>
        <v>1</v>
      </c>
      <c r="BH15" s="23" t="s">
        <v>60</v>
      </c>
      <c r="BI15" s="23" t="s">
        <v>60</v>
      </c>
      <c r="BJ15" s="49" t="s">
        <v>53</v>
      </c>
      <c r="BK15" s="49" t="s">
        <v>53</v>
      </c>
      <c r="BL15" s="49" t="s">
        <v>53</v>
      </c>
      <c r="BM15" s="49" t="s">
        <v>53</v>
      </c>
      <c r="BN15" s="49" t="s">
        <v>53</v>
      </c>
      <c r="BO15" s="48">
        <f t="shared" si="2"/>
        <v>6</v>
      </c>
    </row>
    <row r="16" spans="1:67" x14ac:dyDescent="0.3">
      <c r="A16" s="50" t="s">
        <v>90</v>
      </c>
      <c r="B16" s="50" t="s">
        <v>91</v>
      </c>
      <c r="C16" s="50" t="s">
        <v>307</v>
      </c>
      <c r="D16" s="50" t="s">
        <v>307</v>
      </c>
      <c r="E16" s="50">
        <v>1573</v>
      </c>
      <c r="F16" s="50">
        <v>16</v>
      </c>
      <c r="G16" s="50">
        <v>2</v>
      </c>
      <c r="H16" s="50">
        <v>51865</v>
      </c>
      <c r="I16" s="50">
        <v>3</v>
      </c>
      <c r="J16" s="50">
        <v>0</v>
      </c>
      <c r="K16" s="50">
        <v>52773</v>
      </c>
      <c r="L16" s="51">
        <v>60167863</v>
      </c>
      <c r="M16" s="51">
        <v>30392052</v>
      </c>
      <c r="N16" s="51"/>
      <c r="O16" s="51">
        <v>90559915</v>
      </c>
      <c r="P16" s="51">
        <v>922653296</v>
      </c>
      <c r="Q16" s="52">
        <v>116744</v>
      </c>
      <c r="R16" s="22">
        <v>34646</v>
      </c>
      <c r="S16" s="51">
        <f t="shared" si="0"/>
        <v>7903.2181182758859</v>
      </c>
      <c r="T16" s="53">
        <v>4.9000000000000004</v>
      </c>
      <c r="U16" s="158">
        <v>0.1356</v>
      </c>
      <c r="V16" s="158">
        <v>-0.23799999999999999</v>
      </c>
      <c r="W16" s="54">
        <f t="shared" si="1"/>
        <v>0.66439840408419115</v>
      </c>
      <c r="X16" s="55">
        <f>RawData[[#This Row],[Total State Aid]]/RawData[[#This Row],[Public high school graduates, 2022-23]]</f>
        <v>2613.8635051665415</v>
      </c>
      <c r="Y16" s="56">
        <v>0.26319999999999999</v>
      </c>
      <c r="Z16" s="57">
        <v>0.92833743666958313</v>
      </c>
      <c r="AA16" s="48">
        <v>3</v>
      </c>
      <c r="AB16" s="56">
        <v>0.46600000000000003</v>
      </c>
      <c r="AC16" s="151">
        <v>2241</v>
      </c>
      <c r="AD16" s="149">
        <v>0.57889999999999997</v>
      </c>
      <c r="AE16" s="149">
        <v>0.33</v>
      </c>
      <c r="AF16" s="150">
        <v>11.71</v>
      </c>
      <c r="AG16" s="23">
        <v>57303</v>
      </c>
      <c r="AH16" s="23">
        <v>51386</v>
      </c>
      <c r="AI16" s="23">
        <v>-5917</v>
      </c>
      <c r="AJ16" s="59">
        <v>-0.10325811803340912</v>
      </c>
      <c r="AK16" s="59">
        <v>-0.14000000000000001</v>
      </c>
      <c r="AL16" s="23">
        <v>11110.000061035156</v>
      </c>
      <c r="AM16" s="23">
        <v>10607.666534423828</v>
      </c>
      <c r="AN16" s="23">
        <v>2847.3333511352539</v>
      </c>
      <c r="AO16" s="59">
        <v>0.38673865795135498</v>
      </c>
      <c r="AP16" s="59">
        <v>0.61238723993301392</v>
      </c>
      <c r="AQ16" s="59">
        <v>0.43315380811691284</v>
      </c>
      <c r="AR16" s="59">
        <v>0.73399999999999999</v>
      </c>
      <c r="AS16" s="59">
        <v>0.872</v>
      </c>
      <c r="AT16" s="59">
        <v>0.71299999999999997</v>
      </c>
      <c r="AU16" s="161">
        <v>0</v>
      </c>
      <c r="AV16" s="161">
        <v>714854809</v>
      </c>
      <c r="AW16" s="59">
        <v>0</v>
      </c>
      <c r="AX16" s="48" t="s">
        <v>52</v>
      </c>
      <c r="AY16" s="48" t="s">
        <v>53</v>
      </c>
      <c r="AZ16" s="48"/>
      <c r="BA16" s="48" t="s">
        <v>53</v>
      </c>
      <c r="BB16" s="48" t="s">
        <v>53</v>
      </c>
      <c r="BC16" s="48" t="s">
        <v>60</v>
      </c>
      <c r="BD16" s="48" t="s">
        <v>60</v>
      </c>
      <c r="BE16" s="48" t="s">
        <v>60</v>
      </c>
      <c r="BF16" s="48" t="s">
        <v>60</v>
      </c>
      <c r="BG16" s="48">
        <f>IF(OR(RawData[[#This Row],[Existing partner and/or SHEEO?]]="Existing Partner",RawData[[#This Row],[Existing partner and/or SHEEO?]]="SHEEO",RawData[[#This Row],[Existing partner and/or SHEEO?]]="Both"),2,0)+IF(ISBLANK(RawData[[#This Row],[Contact with CUNY ASAP Replication Team? (Through Spring 2025)]]),0,1)</f>
        <v>1</v>
      </c>
      <c r="BH16" s="23" t="s">
        <v>60</v>
      </c>
      <c r="BI16" s="49" t="s">
        <v>53</v>
      </c>
      <c r="BJ16" s="49" t="s">
        <v>53</v>
      </c>
      <c r="BK16" s="49" t="s">
        <v>53</v>
      </c>
      <c r="BL16" s="49" t="s">
        <v>53</v>
      </c>
      <c r="BM16" s="49" t="s">
        <v>53</v>
      </c>
      <c r="BN16" s="49" t="s">
        <v>810</v>
      </c>
      <c r="BO16" s="48">
        <f t="shared" si="2"/>
        <v>4</v>
      </c>
    </row>
    <row r="17" spans="1:67" x14ac:dyDescent="0.3">
      <c r="A17" s="50" t="s">
        <v>92</v>
      </c>
      <c r="B17" s="50" t="s">
        <v>93</v>
      </c>
      <c r="C17" s="50" t="s">
        <v>311</v>
      </c>
      <c r="D17" s="50" t="s">
        <v>307</v>
      </c>
      <c r="E17" s="50">
        <v>1446</v>
      </c>
      <c r="F17" s="50">
        <v>25</v>
      </c>
      <c r="G17" s="50">
        <v>8</v>
      </c>
      <c r="H17" s="50">
        <v>45397</v>
      </c>
      <c r="I17" s="50">
        <v>8</v>
      </c>
      <c r="J17" s="50">
        <v>0</v>
      </c>
      <c r="K17" s="50">
        <v>60405</v>
      </c>
      <c r="L17" s="51">
        <v>36709446</v>
      </c>
      <c r="M17" s="51">
        <v>20000</v>
      </c>
      <c r="N17" s="51">
        <v>13403177</v>
      </c>
      <c r="O17" s="51">
        <v>50132623</v>
      </c>
      <c r="P17" s="51">
        <v>1321941220</v>
      </c>
      <c r="Q17" s="52">
        <v>122736</v>
      </c>
      <c r="R17" s="22">
        <v>34170</v>
      </c>
      <c r="S17" s="51">
        <f t="shared" si="0"/>
        <v>10770.606993873029</v>
      </c>
      <c r="T17" s="53">
        <v>7.2</v>
      </c>
      <c r="U17" s="158">
        <v>0.56110000000000004</v>
      </c>
      <c r="V17" s="158">
        <v>-6.5000000000000002E-2</v>
      </c>
      <c r="W17" s="54">
        <f t="shared" si="1"/>
        <v>0.73224666501092517</v>
      </c>
      <c r="X17" s="55">
        <f>RawData[[#This Row],[Total State Aid]]/RawData[[#This Row],[Public high school graduates, 2022-23]]</f>
        <v>1467.1531460345332</v>
      </c>
      <c r="Y17" s="56">
        <v>0.30959999999999999</v>
      </c>
      <c r="Z17" s="57">
        <v>0.7470465721283841</v>
      </c>
      <c r="AA17" s="48">
        <v>3.6</v>
      </c>
      <c r="AB17" s="56">
        <v>0.46100000000000002</v>
      </c>
      <c r="AC17" s="151">
        <v>2092</v>
      </c>
      <c r="AD17" s="149">
        <v>0.74619999999999997</v>
      </c>
      <c r="AE17" s="149">
        <v>0.36399999999999999</v>
      </c>
      <c r="AF17" s="150">
        <v>12.39</v>
      </c>
      <c r="AG17" s="23">
        <v>51502</v>
      </c>
      <c r="AH17" s="23">
        <v>44688</v>
      </c>
      <c r="AI17" s="23">
        <v>-6814</v>
      </c>
      <c r="AJ17" s="59">
        <v>-0.13230554759502411</v>
      </c>
      <c r="AK17" s="59">
        <v>-0.122</v>
      </c>
      <c r="AL17" s="23">
        <v>9831.0000839233398</v>
      </c>
      <c r="AM17" s="23">
        <v>9398.6666107177734</v>
      </c>
      <c r="AN17" s="23">
        <v>3208.1666603088379</v>
      </c>
      <c r="AO17" s="59">
        <v>0.38331130146980286</v>
      </c>
      <c r="AP17" s="59">
        <v>0.59111219644546509</v>
      </c>
      <c r="AQ17" s="59">
        <v>0.38614994287490845</v>
      </c>
      <c r="AR17" s="59">
        <v>0.61599999999999999</v>
      </c>
      <c r="AS17" s="59">
        <v>0.80100000000000005</v>
      </c>
      <c r="AT17" s="59">
        <v>0.44700000000000001</v>
      </c>
      <c r="AU17" s="161">
        <v>88381019</v>
      </c>
      <c r="AV17" s="161">
        <v>1152324799</v>
      </c>
      <c r="AW17" s="59">
        <v>7.6999999999999999E-2</v>
      </c>
      <c r="AX17" s="48" t="s">
        <v>52</v>
      </c>
      <c r="AY17" s="48" t="s">
        <v>53</v>
      </c>
      <c r="AZ17" s="48"/>
      <c r="BA17" s="48" t="s">
        <v>60</v>
      </c>
      <c r="BB17" s="48" t="s">
        <v>60</v>
      </c>
      <c r="BC17" s="48" t="s">
        <v>60</v>
      </c>
      <c r="BD17" s="48" t="s">
        <v>53</v>
      </c>
      <c r="BE17" s="48" t="s">
        <v>60</v>
      </c>
      <c r="BF17" s="48" t="s">
        <v>60</v>
      </c>
      <c r="BG17" s="48">
        <f>IF(OR(RawData[[#This Row],[Existing partner and/or SHEEO?]]="Existing Partner",RawData[[#This Row],[Existing partner and/or SHEEO?]]="SHEEO",RawData[[#This Row],[Existing partner and/or SHEEO?]]="Both"),2,0)+IF(ISBLANK(RawData[[#This Row],[Contact with CUNY ASAP Replication Team? (Through Spring 2025)]]),0,1)</f>
        <v>1</v>
      </c>
      <c r="BH17" s="23" t="s">
        <v>60</v>
      </c>
      <c r="BI17" s="49" t="s">
        <v>53</v>
      </c>
      <c r="BJ17" s="49" t="s">
        <v>53</v>
      </c>
      <c r="BK17" s="49" t="s">
        <v>53</v>
      </c>
      <c r="BL17" s="49" t="s">
        <v>53</v>
      </c>
      <c r="BM17" s="49" t="s">
        <v>53</v>
      </c>
      <c r="BN17" s="49" t="s">
        <v>53</v>
      </c>
      <c r="BO17" s="48">
        <f t="shared" si="2"/>
        <v>5</v>
      </c>
    </row>
    <row r="18" spans="1:67" x14ac:dyDescent="0.3">
      <c r="A18" s="50" t="s">
        <v>94</v>
      </c>
      <c r="B18" s="50" t="s">
        <v>95</v>
      </c>
      <c r="C18" s="50" t="s">
        <v>311</v>
      </c>
      <c r="D18" s="50" t="s">
        <v>307</v>
      </c>
      <c r="E18" s="50">
        <v>2309</v>
      </c>
      <c r="F18" s="50">
        <v>16</v>
      </c>
      <c r="G18" s="50">
        <v>2</v>
      </c>
      <c r="H18" s="50">
        <v>40272</v>
      </c>
      <c r="I18" s="50">
        <v>8</v>
      </c>
      <c r="J18" s="50">
        <v>1</v>
      </c>
      <c r="K18" s="50">
        <v>78597</v>
      </c>
      <c r="L18" s="51">
        <v>206493638</v>
      </c>
      <c r="M18" s="51">
        <v>160833506</v>
      </c>
      <c r="N18" s="51">
        <v>758298</v>
      </c>
      <c r="O18" s="51">
        <v>368085442</v>
      </c>
      <c r="P18" s="51">
        <v>1484756400</v>
      </c>
      <c r="Q18" s="52">
        <v>139104</v>
      </c>
      <c r="R18" s="22">
        <v>46427</v>
      </c>
      <c r="S18" s="51">
        <f t="shared" si="0"/>
        <v>10673.714630779848</v>
      </c>
      <c r="T18" s="53">
        <v>5.72</v>
      </c>
      <c r="U18" s="158">
        <v>0.38890000000000002</v>
      </c>
      <c r="V18" s="158">
        <v>-0.311</v>
      </c>
      <c r="W18" s="54">
        <f t="shared" si="1"/>
        <v>0.56099376513782362</v>
      </c>
      <c r="X18" s="55">
        <f>RawData[[#This Row],[Total State Aid]]/RawData[[#This Row],[Public high school graduates, 2022-23]]</f>
        <v>7928.2624765761302</v>
      </c>
      <c r="Y18" s="56">
        <v>0.30840000000000001</v>
      </c>
      <c r="Z18" s="57">
        <v>1.2430150781626939</v>
      </c>
      <c r="AA18" s="48">
        <v>5.0999999999999996</v>
      </c>
      <c r="AB18" s="56">
        <v>0.38300000000000001</v>
      </c>
      <c r="AC18" s="151">
        <v>2724</v>
      </c>
      <c r="AD18" s="149">
        <v>0.75</v>
      </c>
      <c r="AE18" s="149">
        <v>0.28499999999999998</v>
      </c>
      <c r="AF18" s="150">
        <v>10.27</v>
      </c>
      <c r="AG18" s="23">
        <v>44373</v>
      </c>
      <c r="AH18" s="23">
        <v>41171</v>
      </c>
      <c r="AI18" s="23">
        <v>-3202</v>
      </c>
      <c r="AJ18" s="59">
        <v>-7.2160996496677399E-2</v>
      </c>
      <c r="AK18" s="59">
        <v>-6.5000000000000002E-2</v>
      </c>
      <c r="AL18" s="23">
        <v>8077.3333892822266</v>
      </c>
      <c r="AM18" s="23">
        <v>7336.6666870117188</v>
      </c>
      <c r="AN18" s="23">
        <v>3729.3332977294922</v>
      </c>
      <c r="AO18" s="59">
        <v>0.41750577092170715</v>
      </c>
      <c r="AP18" s="59">
        <v>0.62844163179397583</v>
      </c>
      <c r="AQ18" s="59">
        <v>0.44467288255691528</v>
      </c>
      <c r="AR18" s="59">
        <v>0.59099999999999997</v>
      </c>
      <c r="AS18" s="59">
        <v>0.78600000000000003</v>
      </c>
      <c r="AT18" s="59">
        <v>0.40799999999999997</v>
      </c>
      <c r="AU18" s="161">
        <v>825576200</v>
      </c>
      <c r="AV18" s="161">
        <v>936255700</v>
      </c>
      <c r="AW18" s="59">
        <v>0.88200000000000001</v>
      </c>
      <c r="AX18" s="48" t="s">
        <v>52</v>
      </c>
      <c r="AY18" s="48" t="s">
        <v>53</v>
      </c>
      <c r="AZ18" s="48"/>
      <c r="BA18" s="48" t="s">
        <v>60</v>
      </c>
      <c r="BB18" s="48" t="s">
        <v>60</v>
      </c>
      <c r="BC18" s="48" t="s">
        <v>60</v>
      </c>
      <c r="BD18" s="48" t="s">
        <v>60</v>
      </c>
      <c r="BE18" s="48" t="s">
        <v>60</v>
      </c>
      <c r="BF18" s="48" t="s">
        <v>60</v>
      </c>
      <c r="BG18" s="48">
        <f>IF(OR(RawData[[#This Row],[Existing partner and/or SHEEO?]]="Existing Partner",RawData[[#This Row],[Existing partner and/or SHEEO?]]="SHEEO",RawData[[#This Row],[Existing partner and/or SHEEO?]]="Both"),2,0)+IF(ISBLANK(RawData[[#This Row],[Contact with CUNY ASAP Replication Team? (Through Spring 2025)]]),0,1)</f>
        <v>1</v>
      </c>
      <c r="BH18" s="49" t="s">
        <v>53</v>
      </c>
      <c r="BI18" s="49" t="s">
        <v>53</v>
      </c>
      <c r="BJ18" s="49" t="s">
        <v>53</v>
      </c>
      <c r="BK18" s="49" t="s">
        <v>53</v>
      </c>
      <c r="BL18" s="49" t="s">
        <v>53</v>
      </c>
      <c r="BM18" s="49" t="s">
        <v>53</v>
      </c>
      <c r="BN18" s="49" t="s">
        <v>53</v>
      </c>
      <c r="BO18" s="48">
        <f t="shared" si="2"/>
        <v>6</v>
      </c>
    </row>
    <row r="19" spans="1:67" x14ac:dyDescent="0.3">
      <c r="A19" s="50" t="s">
        <v>96</v>
      </c>
      <c r="B19" s="50" t="s">
        <v>97</v>
      </c>
      <c r="C19" s="50" t="s">
        <v>307</v>
      </c>
      <c r="D19" s="50" t="s">
        <v>307</v>
      </c>
      <c r="E19" s="50">
        <v>2358</v>
      </c>
      <c r="F19" s="50">
        <v>14</v>
      </c>
      <c r="G19" s="50">
        <v>11</v>
      </c>
      <c r="H19" s="50">
        <v>39129</v>
      </c>
      <c r="I19" s="50">
        <v>17</v>
      </c>
      <c r="J19" s="50">
        <v>5</v>
      </c>
      <c r="K19" s="50">
        <v>99975</v>
      </c>
      <c r="L19" s="51">
        <v>55349648</v>
      </c>
      <c r="M19" s="51">
        <v>289764131</v>
      </c>
      <c r="N19" s="51">
        <v>672000</v>
      </c>
      <c r="O19" s="51">
        <v>345785779</v>
      </c>
      <c r="P19" s="51">
        <v>1472122361</v>
      </c>
      <c r="Q19" s="52">
        <v>164604</v>
      </c>
      <c r="R19" s="22">
        <v>41455</v>
      </c>
      <c r="S19" s="51">
        <f t="shared" si="0"/>
        <v>8943.4179060047136</v>
      </c>
      <c r="T19" s="53">
        <v>5.48</v>
      </c>
      <c r="U19" s="158">
        <v>0.37740000000000001</v>
      </c>
      <c r="V19" s="158">
        <v>-0.215</v>
      </c>
      <c r="W19" s="54">
        <f t="shared" si="1"/>
        <v>0.16006918549417845</v>
      </c>
      <c r="X19" s="55">
        <f>RawData[[#This Row],[Total State Aid]]/RawData[[#This Row],[Public high school graduates, 2022-23]]</f>
        <v>8341.2321553491729</v>
      </c>
      <c r="Y19" s="56">
        <v>0.41239999999999999</v>
      </c>
      <c r="Z19" s="57">
        <v>1.1111337296094237</v>
      </c>
      <c r="AA19" s="48">
        <v>4.4000000000000004</v>
      </c>
      <c r="AB19" s="56">
        <v>0.35199999999999998</v>
      </c>
      <c r="AC19" s="151">
        <v>2301</v>
      </c>
      <c r="AD19" s="149">
        <v>0.79269999999999996</v>
      </c>
      <c r="AE19" s="149">
        <v>0.27200000000000002</v>
      </c>
      <c r="AF19" s="150">
        <v>9</v>
      </c>
      <c r="AG19" s="23">
        <v>43102</v>
      </c>
      <c r="AH19" s="23">
        <v>39189</v>
      </c>
      <c r="AI19" s="23">
        <v>-3913</v>
      </c>
      <c r="AJ19" s="59">
        <v>-9.0784654021263123E-2</v>
      </c>
      <c r="AK19" s="59">
        <v>-4.9000000000000002E-2</v>
      </c>
      <c r="AL19" s="23">
        <v>8069.6665802001953</v>
      </c>
      <c r="AM19" s="23">
        <v>7378.0000228881836</v>
      </c>
      <c r="AN19" s="23">
        <v>3200.6666374206543</v>
      </c>
      <c r="AO19" s="59">
        <v>0.25734230875968933</v>
      </c>
      <c r="AP19" s="59">
        <v>0.53740853071212769</v>
      </c>
      <c r="AQ19" s="59">
        <v>0.3154551088809967</v>
      </c>
      <c r="AR19" s="59">
        <v>0.52200000000000002</v>
      </c>
      <c r="AS19" s="59">
        <v>0.746</v>
      </c>
      <c r="AT19" s="59">
        <v>0.47499999999999998</v>
      </c>
      <c r="AU19" s="161">
        <v>585151955</v>
      </c>
      <c r="AV19" s="161">
        <v>976874400</v>
      </c>
      <c r="AW19" s="59">
        <v>0.59899999999999998</v>
      </c>
      <c r="AX19" s="48" t="s">
        <v>52</v>
      </c>
      <c r="AY19" s="48" t="s">
        <v>53</v>
      </c>
      <c r="AZ19" s="48"/>
      <c r="BA19" s="48" t="s">
        <v>60</v>
      </c>
      <c r="BB19" s="48" t="s">
        <v>60</v>
      </c>
      <c r="BC19" s="48" t="s">
        <v>60</v>
      </c>
      <c r="BD19" s="48" t="s">
        <v>53</v>
      </c>
      <c r="BE19" s="48" t="s">
        <v>60</v>
      </c>
      <c r="BF19" s="48" t="s">
        <v>60</v>
      </c>
      <c r="BG19" s="48">
        <f>IF(OR(RawData[[#This Row],[Existing partner and/or SHEEO?]]="Existing Partner",RawData[[#This Row],[Existing partner and/or SHEEO?]]="SHEEO",RawData[[#This Row],[Existing partner and/or SHEEO?]]="Both"),2,0)+IF(ISBLANK(RawData[[#This Row],[Contact with CUNY ASAP Replication Team? (Through Spring 2025)]]),0,1)</f>
        <v>1</v>
      </c>
      <c r="BH19" s="49" t="s">
        <v>53</v>
      </c>
      <c r="BI19" s="23" t="s">
        <v>60</v>
      </c>
      <c r="BJ19" s="49" t="s">
        <v>53</v>
      </c>
      <c r="BK19" s="49" t="s">
        <v>53</v>
      </c>
      <c r="BL19" s="49" t="s">
        <v>53</v>
      </c>
      <c r="BM19" s="49" t="s">
        <v>53</v>
      </c>
      <c r="BN19" s="49" t="s">
        <v>811</v>
      </c>
      <c r="BO19" s="48">
        <f t="shared" si="2"/>
        <v>5</v>
      </c>
    </row>
    <row r="20" spans="1:67" x14ac:dyDescent="0.3">
      <c r="A20" s="50" t="s">
        <v>98</v>
      </c>
      <c r="B20" s="50" t="s">
        <v>99</v>
      </c>
      <c r="C20" s="50" t="s">
        <v>311</v>
      </c>
      <c r="D20" s="50" t="s">
        <v>311</v>
      </c>
      <c r="E20" s="50">
        <v>715</v>
      </c>
      <c r="F20" s="50">
        <v>7</v>
      </c>
      <c r="G20" s="50">
        <v>5</v>
      </c>
      <c r="H20" s="50">
        <v>8979</v>
      </c>
      <c r="I20" s="50">
        <v>7</v>
      </c>
      <c r="J20" s="50">
        <v>2</v>
      </c>
      <c r="K20" s="50">
        <v>19909</v>
      </c>
      <c r="L20" s="51">
        <v>26103521</v>
      </c>
      <c r="M20" s="51">
        <v>737500</v>
      </c>
      <c r="N20" s="51">
        <v>1773575</v>
      </c>
      <c r="O20" s="51">
        <v>28614596</v>
      </c>
      <c r="P20" s="51">
        <v>377561109</v>
      </c>
      <c r="Q20" s="52">
        <v>32293</v>
      </c>
      <c r="R20" s="22">
        <v>12671</v>
      </c>
      <c r="S20" s="51">
        <f t="shared" si="0"/>
        <v>11691.73223299167</v>
      </c>
      <c r="T20" s="53">
        <v>4.22</v>
      </c>
      <c r="U20" s="158">
        <v>0.57299999999999995</v>
      </c>
      <c r="V20" s="158">
        <v>-0.18099999999999999</v>
      </c>
      <c r="W20" s="54">
        <f t="shared" si="1"/>
        <v>0.91224496057885984</v>
      </c>
      <c r="X20" s="55">
        <f>RawData[[#This Row],[Total State Aid]]/RawData[[#This Row],[Public high school graduates, 2022-23]]</f>
        <v>2258.2744850445902</v>
      </c>
      <c r="Y20" s="56">
        <v>0.34399999999999997</v>
      </c>
      <c r="Z20" s="57">
        <v>0.88114845813006315</v>
      </c>
      <c r="AA20" s="48">
        <v>3.1</v>
      </c>
      <c r="AB20" s="56">
        <v>0.46800000000000003</v>
      </c>
      <c r="AC20" s="151">
        <v>1807</v>
      </c>
      <c r="AD20" s="149">
        <v>0.57150000000000001</v>
      </c>
      <c r="AE20" s="149">
        <v>0.35399999999999998</v>
      </c>
      <c r="AF20" s="150">
        <v>10.01</v>
      </c>
      <c r="AG20" s="23">
        <v>9771</v>
      </c>
      <c r="AH20" s="23">
        <v>9842</v>
      </c>
      <c r="AI20" s="23">
        <v>71</v>
      </c>
      <c r="AJ20" s="59">
        <v>7.2664003819227219E-3</v>
      </c>
      <c r="AK20" s="59">
        <v>-0.08</v>
      </c>
      <c r="AL20" s="23">
        <v>2170.3333282470703</v>
      </c>
      <c r="AM20" s="23">
        <v>1966.3333129882813</v>
      </c>
      <c r="AN20" s="23">
        <v>950.00000762939453</v>
      </c>
      <c r="AO20" s="59">
        <v>0.26892951130867004</v>
      </c>
      <c r="AP20" s="59">
        <v>0.55127990245819092</v>
      </c>
      <c r="AQ20" s="59">
        <v>0.43228068947792053</v>
      </c>
      <c r="AR20" s="59">
        <v>0.51100000000000001</v>
      </c>
      <c r="AS20" s="59">
        <v>0.72799999999999998</v>
      </c>
      <c r="AT20" s="59">
        <v>0.40899999999999997</v>
      </c>
      <c r="AU20" s="161">
        <v>0</v>
      </c>
      <c r="AV20" s="161">
        <v>310013508</v>
      </c>
      <c r="AW20" s="59">
        <v>0</v>
      </c>
      <c r="AX20" s="48" t="s">
        <v>52</v>
      </c>
      <c r="AY20" s="48" t="s">
        <v>53</v>
      </c>
      <c r="AZ20" s="48"/>
      <c r="BA20" s="48" t="s">
        <v>53</v>
      </c>
      <c r="BB20" s="48" t="s">
        <v>53</v>
      </c>
      <c r="BC20" s="48" t="s">
        <v>60</v>
      </c>
      <c r="BD20" s="48" t="s">
        <v>60</v>
      </c>
      <c r="BE20" s="48" t="s">
        <v>53</v>
      </c>
      <c r="BF20" s="48" t="s">
        <v>60</v>
      </c>
      <c r="BG20" s="48">
        <f>IF(OR(RawData[[#This Row],[Existing partner and/or SHEEO?]]="Existing Partner",RawData[[#This Row],[Existing partner and/or SHEEO?]]="SHEEO",RawData[[#This Row],[Existing partner and/or SHEEO?]]="Both"),2,0)+IF(ISBLANK(RawData[[#This Row],[Contact with CUNY ASAP Replication Team? (Through Spring 2025)]]),0,1)</f>
        <v>1</v>
      </c>
      <c r="BH20" s="49" t="s">
        <v>53</v>
      </c>
      <c r="BI20" s="49" t="s">
        <v>53</v>
      </c>
      <c r="BJ20" s="49" t="s">
        <v>53</v>
      </c>
      <c r="BK20" s="49" t="s">
        <v>53</v>
      </c>
      <c r="BL20" s="49" t="s">
        <v>53</v>
      </c>
      <c r="BM20" s="49" t="s">
        <v>53</v>
      </c>
      <c r="BN20" s="49" t="s">
        <v>53</v>
      </c>
      <c r="BO20" s="48">
        <f t="shared" si="2"/>
        <v>3</v>
      </c>
    </row>
    <row r="21" spans="1:67" ht="26" x14ac:dyDescent="0.3">
      <c r="A21" s="50" t="s">
        <v>100</v>
      </c>
      <c r="B21" s="50" t="s">
        <v>101</v>
      </c>
      <c r="C21" s="50" t="s">
        <v>311</v>
      </c>
      <c r="D21" s="50" t="s">
        <v>311</v>
      </c>
      <c r="E21" s="50">
        <v>3270</v>
      </c>
      <c r="F21" s="50">
        <v>16</v>
      </c>
      <c r="G21" s="50">
        <v>14</v>
      </c>
      <c r="H21" s="50">
        <v>61304</v>
      </c>
      <c r="I21" s="50">
        <v>14</v>
      </c>
      <c r="J21" s="50">
        <v>2</v>
      </c>
      <c r="K21" s="50">
        <v>116574</v>
      </c>
      <c r="L21" s="51">
        <v>126752379</v>
      </c>
      <c r="M21" s="51">
        <v>5160438</v>
      </c>
      <c r="N21" s="51">
        <v>508173</v>
      </c>
      <c r="O21" s="51">
        <v>132420990</v>
      </c>
      <c r="P21" s="51">
        <v>3432325329</v>
      </c>
      <c r="Q21" s="52">
        <v>218034</v>
      </c>
      <c r="R21" s="22">
        <v>60273</v>
      </c>
      <c r="S21" s="51">
        <f t="shared" si="0"/>
        <v>15742.156402212499</v>
      </c>
      <c r="T21" s="53">
        <v>6.77</v>
      </c>
      <c r="U21" s="158">
        <v>0.80389999999999995</v>
      </c>
      <c r="V21" s="158">
        <v>6.6000000000000003E-2</v>
      </c>
      <c r="W21" s="54">
        <f t="shared" si="1"/>
        <v>0.95719250399804445</v>
      </c>
      <c r="X21" s="55">
        <f>RawData[[#This Row],[Total State Aid]]/RawData[[#This Row],[Public high school graduates, 2022-23]]</f>
        <v>2197.0200587327658</v>
      </c>
      <c r="Y21" s="56">
        <v>0.28420000000000001</v>
      </c>
      <c r="Z21" s="57">
        <v>0.8227280929529821</v>
      </c>
      <c r="AA21" s="48">
        <v>3</v>
      </c>
      <c r="AB21" s="56">
        <v>0.51500000000000001</v>
      </c>
      <c r="AC21" s="151">
        <v>1820</v>
      </c>
      <c r="AD21" s="149">
        <v>0.872</v>
      </c>
      <c r="AE21" s="149">
        <v>0.44400000000000001</v>
      </c>
      <c r="AF21" s="150">
        <v>18.61</v>
      </c>
      <c r="AG21" s="23">
        <v>70820</v>
      </c>
      <c r="AH21" s="23">
        <v>58799</v>
      </c>
      <c r="AI21" s="23">
        <v>-12021</v>
      </c>
      <c r="AJ21" s="59">
        <v>-0.16974018514156342</v>
      </c>
      <c r="AK21" s="59">
        <v>-4.5999999999999999E-2</v>
      </c>
      <c r="AL21" s="23">
        <v>11831.999984741211</v>
      </c>
      <c r="AM21" s="23">
        <v>10913.33332824707</v>
      </c>
      <c r="AN21" s="23">
        <v>7497.9999876022339</v>
      </c>
      <c r="AO21" s="59">
        <v>0.2610434889793396</v>
      </c>
      <c r="AP21" s="59">
        <v>0.62669515609741211</v>
      </c>
      <c r="AQ21" s="59">
        <v>0.43740552663803101</v>
      </c>
      <c r="AR21" s="59">
        <v>0.68899999999999995</v>
      </c>
      <c r="AS21" s="59">
        <v>0.85199999999999998</v>
      </c>
      <c r="AT21" s="59">
        <v>0.36099999999999999</v>
      </c>
      <c r="AU21" s="161">
        <v>0</v>
      </c>
      <c r="AV21" s="161">
        <v>3091809289</v>
      </c>
      <c r="AW21" s="59">
        <v>0</v>
      </c>
      <c r="AX21" s="48" t="s">
        <v>828</v>
      </c>
      <c r="AY21" s="48" t="s">
        <v>60</v>
      </c>
      <c r="AZ21" s="48" t="s">
        <v>103</v>
      </c>
      <c r="BA21" s="48" t="s">
        <v>53</v>
      </c>
      <c r="BB21" s="48" t="s">
        <v>53</v>
      </c>
      <c r="BC21" s="48" t="s">
        <v>60</v>
      </c>
      <c r="BD21" s="48" t="s">
        <v>60</v>
      </c>
      <c r="BE21" s="48" t="s">
        <v>53</v>
      </c>
      <c r="BF21" s="48" t="s">
        <v>60</v>
      </c>
      <c r="BG21" s="48">
        <f>IF(OR(RawData[[#This Row],[Existing partner and/or SHEEO?]]="Existing Partner",RawData[[#This Row],[Existing partner and/or SHEEO?]]="SHEEO",RawData[[#This Row],[Existing partner and/or SHEEO?]]="Both"),2,0)+IF(ISBLANK(RawData[[#This Row],[Contact with CUNY ASAP Replication Team? (Through Spring 2025)]]),0,1)</f>
        <v>1</v>
      </c>
      <c r="BH21" s="49" t="s">
        <v>53</v>
      </c>
      <c r="BI21" s="23" t="s">
        <v>60</v>
      </c>
      <c r="BJ21" s="49" t="s">
        <v>53</v>
      </c>
      <c r="BK21" s="49" t="s">
        <v>53</v>
      </c>
      <c r="BL21" s="49" t="s">
        <v>53</v>
      </c>
      <c r="BM21" s="49" t="s">
        <v>53</v>
      </c>
      <c r="BN21" s="49" t="s">
        <v>53</v>
      </c>
      <c r="BO21" s="48">
        <f t="shared" si="2"/>
        <v>3</v>
      </c>
    </row>
    <row r="22" spans="1:67" ht="39" x14ac:dyDescent="0.3">
      <c r="A22" s="50" t="s">
        <v>104</v>
      </c>
      <c r="B22" s="50" t="s">
        <v>105</v>
      </c>
      <c r="C22" s="50" t="s">
        <v>311</v>
      </c>
      <c r="D22" s="50" t="s">
        <v>311</v>
      </c>
      <c r="E22" s="50">
        <v>3724</v>
      </c>
      <c r="F22" s="50">
        <v>16</v>
      </c>
      <c r="G22" s="50">
        <v>16</v>
      </c>
      <c r="H22" s="50">
        <v>40975</v>
      </c>
      <c r="I22" s="50">
        <v>13</v>
      </c>
      <c r="J22" s="50">
        <v>0</v>
      </c>
      <c r="K22" s="50">
        <v>83638</v>
      </c>
      <c r="L22" s="51">
        <v>165349424</v>
      </c>
      <c r="M22" s="51">
        <v>4199203</v>
      </c>
      <c r="N22" s="51">
        <v>41424904</v>
      </c>
      <c r="O22" s="51">
        <v>210973531</v>
      </c>
      <c r="P22" s="51">
        <v>2186641057</v>
      </c>
      <c r="Q22" s="52">
        <v>140348</v>
      </c>
      <c r="R22" s="22">
        <v>66860</v>
      </c>
      <c r="S22" s="51">
        <f t="shared" si="0"/>
        <v>15580.136923931941</v>
      </c>
      <c r="T22" s="53">
        <v>3.27</v>
      </c>
      <c r="U22" s="158">
        <v>1.0161</v>
      </c>
      <c r="V22" s="158">
        <v>-5.0000000000000001E-3</v>
      </c>
      <c r="W22" s="54">
        <f t="shared" si="1"/>
        <v>0.78374487650775493</v>
      </c>
      <c r="X22" s="55">
        <f>RawData[[#This Row],[Total State Aid]]/RawData[[#This Row],[Public high school graduates, 2022-23]]</f>
        <v>3155.4521537541132</v>
      </c>
      <c r="Y22" s="56">
        <v>0.2636</v>
      </c>
      <c r="Z22" s="57">
        <v>0.23360301503624742</v>
      </c>
      <c r="AA22" s="48">
        <v>4</v>
      </c>
      <c r="AB22" s="56">
        <v>0.56899999999999995</v>
      </c>
      <c r="AC22" s="151">
        <v>1805</v>
      </c>
      <c r="AD22" s="149">
        <v>0.89549999999999996</v>
      </c>
      <c r="AE22" s="149">
        <v>0.49399999999999999</v>
      </c>
      <c r="AF22" s="150">
        <v>6.89</v>
      </c>
      <c r="AG22" s="23">
        <v>52538</v>
      </c>
      <c r="AH22" s="23">
        <v>38717</v>
      </c>
      <c r="AI22" s="23">
        <v>-13821</v>
      </c>
      <c r="AJ22" s="59">
        <v>-0.26306673884391785</v>
      </c>
      <c r="AK22" s="59">
        <v>-0.114</v>
      </c>
      <c r="AL22" s="23">
        <v>8349.6666870117188</v>
      </c>
      <c r="AM22" s="23">
        <v>7336.0000839233398</v>
      </c>
      <c r="AN22" s="23">
        <v>5439.3333511352539</v>
      </c>
      <c r="AO22" s="59">
        <v>0.20336140692234039</v>
      </c>
      <c r="AP22" s="59">
        <v>0.56992912292480469</v>
      </c>
      <c r="AQ22" s="59">
        <v>0.42468440532684326</v>
      </c>
      <c r="AR22" s="59">
        <v>0.65400000000000003</v>
      </c>
      <c r="AS22" s="59">
        <v>0.80100000000000005</v>
      </c>
      <c r="AT22" s="59">
        <v>0.45800000000000002</v>
      </c>
      <c r="AU22" s="161">
        <v>19898556</v>
      </c>
      <c r="AV22" s="161">
        <v>2153439260</v>
      </c>
      <c r="AW22" s="59">
        <v>8.9999999999999993E-3</v>
      </c>
      <c r="AX22" s="48" t="s">
        <v>52</v>
      </c>
      <c r="AY22" s="48" t="s">
        <v>60</v>
      </c>
      <c r="AZ22" s="48" t="s">
        <v>106</v>
      </c>
      <c r="BA22" s="48" t="s">
        <v>60</v>
      </c>
      <c r="BB22" s="48" t="s">
        <v>60</v>
      </c>
      <c r="BC22" s="48" t="s">
        <v>60</v>
      </c>
      <c r="BD22" s="48" t="s">
        <v>60</v>
      </c>
      <c r="BE22" s="48" t="s">
        <v>60</v>
      </c>
      <c r="BF22" s="48" t="s">
        <v>60</v>
      </c>
      <c r="BG22" s="48">
        <f>IF(OR(RawData[[#This Row],[Existing partner and/or SHEEO?]]="Existing Partner",RawData[[#This Row],[Existing partner and/or SHEEO?]]="SHEEO",RawData[[#This Row],[Existing partner and/or SHEEO?]]="Both"),2,0)+IF(ISBLANK(RawData[[#This Row],[Contact with CUNY ASAP Replication Team? (Through Spring 2025)]]),0,1)</f>
        <v>1</v>
      </c>
      <c r="BH22" s="49" t="s">
        <v>53</v>
      </c>
      <c r="BI22" s="49" t="s">
        <v>53</v>
      </c>
      <c r="BJ22" s="49" t="s">
        <v>53</v>
      </c>
      <c r="BK22" s="49" t="s">
        <v>53</v>
      </c>
      <c r="BL22" s="49" t="s">
        <v>53</v>
      </c>
      <c r="BM22" s="49" t="s">
        <v>53</v>
      </c>
      <c r="BN22" s="49" t="s">
        <v>53</v>
      </c>
      <c r="BO22" s="48">
        <f t="shared" si="2"/>
        <v>6</v>
      </c>
    </row>
    <row r="23" spans="1:67" ht="39" x14ac:dyDescent="0.3">
      <c r="A23" s="50" t="s">
        <v>107</v>
      </c>
      <c r="B23" s="50" t="s">
        <v>108</v>
      </c>
      <c r="C23" s="50" t="s">
        <v>311</v>
      </c>
      <c r="D23" s="50" t="s">
        <v>324</v>
      </c>
      <c r="E23" s="50">
        <v>5145</v>
      </c>
      <c r="F23" s="50">
        <v>30</v>
      </c>
      <c r="G23" s="50">
        <v>24</v>
      </c>
      <c r="H23" s="50">
        <v>98473</v>
      </c>
      <c r="I23" s="50">
        <v>16</v>
      </c>
      <c r="J23" s="50">
        <v>0</v>
      </c>
      <c r="K23" s="50">
        <v>185519</v>
      </c>
      <c r="L23" s="51">
        <v>128123925</v>
      </c>
      <c r="M23" s="51">
        <v>8101138</v>
      </c>
      <c r="N23" s="51">
        <v>25393163</v>
      </c>
      <c r="O23" s="51">
        <v>161618226</v>
      </c>
      <c r="P23" s="51">
        <v>2993247661</v>
      </c>
      <c r="Q23" s="52">
        <v>330986</v>
      </c>
      <c r="R23" s="22">
        <v>99036</v>
      </c>
      <c r="S23" s="51">
        <f t="shared" si="0"/>
        <v>9043.4267944867752</v>
      </c>
      <c r="T23" s="53">
        <v>5.53</v>
      </c>
      <c r="U23" s="158">
        <v>0.67689999999999995</v>
      </c>
      <c r="V23" s="158">
        <v>8.0000000000000002E-3</v>
      </c>
      <c r="W23" s="54">
        <f t="shared" si="1"/>
        <v>0.79275665975940113</v>
      </c>
      <c r="X23" s="55">
        <f>RawData[[#This Row],[Total State Aid]]/RawData[[#This Row],[Public high school graduates, 2022-23]]</f>
        <v>1631.9139100932994</v>
      </c>
      <c r="Y23" s="56">
        <v>0.33550000000000002</v>
      </c>
      <c r="Z23" s="57">
        <v>1.1757935780681263</v>
      </c>
      <c r="AA23" s="48">
        <v>4.7</v>
      </c>
      <c r="AB23" s="56">
        <v>0.435</v>
      </c>
      <c r="AC23" s="151">
        <v>2476</v>
      </c>
      <c r="AD23" s="149">
        <v>0.875</v>
      </c>
      <c r="AE23" s="149">
        <v>0.33300000000000002</v>
      </c>
      <c r="AF23" s="150">
        <v>13.28</v>
      </c>
      <c r="AG23" s="23">
        <v>113587</v>
      </c>
      <c r="AH23" s="23">
        <v>96275</v>
      </c>
      <c r="AI23" s="23">
        <v>-17312</v>
      </c>
      <c r="AJ23" s="59">
        <v>-0.1524118036031723</v>
      </c>
      <c r="AK23" s="59">
        <v>-0.113</v>
      </c>
      <c r="AL23" s="23">
        <v>15129.999944210052</v>
      </c>
      <c r="AM23" s="23">
        <v>11832.333337306976</v>
      </c>
      <c r="AN23" s="23">
        <v>10924.166639328003</v>
      </c>
      <c r="AO23" s="59">
        <v>0.19293896853923798</v>
      </c>
      <c r="AP23" s="59">
        <v>0.61050230264663696</v>
      </c>
      <c r="AQ23" s="59">
        <v>0.45805171132087708</v>
      </c>
      <c r="AR23" s="59">
        <v>0.68600000000000005</v>
      </c>
      <c r="AS23" s="59">
        <v>0.84399999999999997</v>
      </c>
      <c r="AT23" s="59">
        <v>0.54300000000000004</v>
      </c>
      <c r="AU23" s="161">
        <v>11894300</v>
      </c>
      <c r="AV23" s="161">
        <v>3100939801</v>
      </c>
      <c r="AW23" s="59">
        <v>4.0000000000000001E-3</v>
      </c>
      <c r="AX23" s="48" t="s">
        <v>69</v>
      </c>
      <c r="AY23" s="48" t="s">
        <v>60</v>
      </c>
      <c r="AZ23" s="48" t="s">
        <v>109</v>
      </c>
      <c r="BA23" s="48" t="s">
        <v>60</v>
      </c>
      <c r="BB23" s="48" t="s">
        <v>53</v>
      </c>
      <c r="BC23" s="48" t="s">
        <v>60</v>
      </c>
      <c r="BD23" s="48" t="s">
        <v>60</v>
      </c>
      <c r="BE23" s="48" t="s">
        <v>53</v>
      </c>
      <c r="BF23" s="48" t="s">
        <v>53</v>
      </c>
      <c r="BG23" s="48">
        <f>IF(OR(RawData[[#This Row],[Existing partner and/or SHEEO?]]="Existing Partner",RawData[[#This Row],[Existing partner and/or SHEEO?]]="SHEEO",RawData[[#This Row],[Existing partner and/or SHEEO?]]="Both"),2,0)+IF(ISBLANK(RawData[[#This Row],[Contact with CUNY ASAP Replication Team? (Through Spring 2025)]]),0,1)</f>
        <v>3</v>
      </c>
      <c r="BH23" s="23" t="s">
        <v>60</v>
      </c>
      <c r="BI23" s="49" t="s">
        <v>53</v>
      </c>
      <c r="BJ23" s="49" t="s">
        <v>53</v>
      </c>
      <c r="BK23" s="49" t="s">
        <v>53</v>
      </c>
      <c r="BL23" s="49" t="s">
        <v>53</v>
      </c>
      <c r="BM23" s="49" t="s">
        <v>53</v>
      </c>
      <c r="BN23" s="49" t="s">
        <v>53</v>
      </c>
      <c r="BO23" s="48">
        <f t="shared" si="2"/>
        <v>3</v>
      </c>
    </row>
    <row r="24" spans="1:67" x14ac:dyDescent="0.3">
      <c r="A24" s="50" t="s">
        <v>110</v>
      </c>
      <c r="B24" s="50" t="s">
        <v>111</v>
      </c>
      <c r="C24" s="50" t="s">
        <v>311</v>
      </c>
      <c r="D24" s="50" t="s">
        <v>324</v>
      </c>
      <c r="E24" s="50">
        <v>2937</v>
      </c>
      <c r="F24" s="50">
        <v>27</v>
      </c>
      <c r="G24" s="50">
        <v>13</v>
      </c>
      <c r="H24" s="50">
        <v>64844</v>
      </c>
      <c r="I24" s="50">
        <v>13</v>
      </c>
      <c r="J24" s="50">
        <v>1</v>
      </c>
      <c r="K24" s="50">
        <v>83308</v>
      </c>
      <c r="L24" s="51">
        <v>227302459</v>
      </c>
      <c r="M24" s="51">
        <v>45911</v>
      </c>
      <c r="N24" s="51">
        <v>69040203</v>
      </c>
      <c r="O24" s="51">
        <v>296388573</v>
      </c>
      <c r="P24" s="51">
        <v>1762275777</v>
      </c>
      <c r="Q24" s="52">
        <v>163409</v>
      </c>
      <c r="R24" s="22">
        <v>62224</v>
      </c>
      <c r="S24" s="51">
        <f t="shared" si="0"/>
        <v>10784.447472293448</v>
      </c>
      <c r="T24" s="53">
        <v>4.63</v>
      </c>
      <c r="U24" s="158">
        <v>0.61240000000000006</v>
      </c>
      <c r="V24" s="158">
        <v>-0.13200000000000001</v>
      </c>
      <c r="W24" s="54">
        <f t="shared" si="1"/>
        <v>0.76690695831920619</v>
      </c>
      <c r="X24" s="55">
        <f>RawData[[#This Row],[Total State Aid]]/RawData[[#This Row],[Public high school graduates, 2022-23]]</f>
        <v>4763.2516874517869</v>
      </c>
      <c r="Y24" s="56">
        <v>0.28749999999999998</v>
      </c>
      <c r="Z24" s="57">
        <v>0.99763393916612098</v>
      </c>
      <c r="AA24" s="48">
        <v>3</v>
      </c>
      <c r="AB24" s="56">
        <v>0.54</v>
      </c>
      <c r="AC24" s="151">
        <v>2261</v>
      </c>
      <c r="AD24" s="149">
        <v>0.71809999999999996</v>
      </c>
      <c r="AE24" s="149">
        <v>0.41299999999999998</v>
      </c>
      <c r="AF24" s="150">
        <v>16.760000000000002</v>
      </c>
      <c r="AG24" s="23">
        <v>72939</v>
      </c>
      <c r="AH24" s="23">
        <v>63446</v>
      </c>
      <c r="AI24" s="23">
        <v>-9493</v>
      </c>
      <c r="AJ24" s="59">
        <v>-0.13014985620975494</v>
      </c>
      <c r="AK24" s="59">
        <v>-0.14399999999999999</v>
      </c>
      <c r="AL24" s="23">
        <v>10361.333358764648</v>
      </c>
      <c r="AM24" s="23">
        <v>9534.6665859222412</v>
      </c>
      <c r="AN24" s="23">
        <v>4978.0000162124634</v>
      </c>
      <c r="AO24" s="59">
        <v>0.33499550819396973</v>
      </c>
      <c r="AP24" s="59">
        <v>0.58974272012710571</v>
      </c>
      <c r="AQ24" s="59">
        <v>0.4587518572807312</v>
      </c>
      <c r="AR24" s="59">
        <v>0.65400000000000003</v>
      </c>
      <c r="AS24" s="59">
        <v>0.81200000000000006</v>
      </c>
      <c r="AT24" s="59">
        <v>0.504</v>
      </c>
      <c r="AU24" s="161">
        <v>0</v>
      </c>
      <c r="AV24" s="161">
        <v>1599993280</v>
      </c>
      <c r="AW24" s="59">
        <v>0</v>
      </c>
      <c r="AX24" s="48" t="s">
        <v>52</v>
      </c>
      <c r="AY24" s="48" t="s">
        <v>53</v>
      </c>
      <c r="AZ24" s="48"/>
      <c r="BA24" s="48" t="s">
        <v>53</v>
      </c>
      <c r="BB24" s="48" t="s">
        <v>53</v>
      </c>
      <c r="BC24" s="48" t="s">
        <v>60</v>
      </c>
      <c r="BD24" s="48" t="s">
        <v>60</v>
      </c>
      <c r="BE24" s="48" t="s">
        <v>60</v>
      </c>
      <c r="BF24" s="48" t="s">
        <v>53</v>
      </c>
      <c r="BG24" s="48">
        <f>IF(OR(RawData[[#This Row],[Existing partner and/or SHEEO?]]="Existing Partner",RawData[[#This Row],[Existing partner and/or SHEEO?]]="SHEEO",RawData[[#This Row],[Existing partner and/or SHEEO?]]="Both"),2,0)+IF(ISBLANK(RawData[[#This Row],[Contact with CUNY ASAP Replication Team? (Through Spring 2025)]]),0,1)</f>
        <v>1</v>
      </c>
      <c r="BH24" s="49" t="s">
        <v>53</v>
      </c>
      <c r="BI24" s="23" t="s">
        <v>60</v>
      </c>
      <c r="BJ24" s="49" t="s">
        <v>53</v>
      </c>
      <c r="BK24" s="49" t="s">
        <v>53</v>
      </c>
      <c r="BL24" s="49" t="s">
        <v>53</v>
      </c>
      <c r="BM24" s="49" t="s">
        <v>53</v>
      </c>
      <c r="BN24" s="49" t="s">
        <v>53</v>
      </c>
      <c r="BO24" s="48">
        <f t="shared" si="2"/>
        <v>3</v>
      </c>
    </row>
    <row r="25" spans="1:67" x14ac:dyDescent="0.3">
      <c r="A25" s="50" t="s">
        <v>112</v>
      </c>
      <c r="B25" s="50" t="s">
        <v>113</v>
      </c>
      <c r="C25" s="50" t="s">
        <v>307</v>
      </c>
      <c r="D25" s="50" t="s">
        <v>307</v>
      </c>
      <c r="E25" s="50">
        <v>1474</v>
      </c>
      <c r="F25" s="50">
        <v>15</v>
      </c>
      <c r="G25" s="50">
        <v>1</v>
      </c>
      <c r="H25" s="50">
        <v>54094</v>
      </c>
      <c r="I25" s="50">
        <v>8</v>
      </c>
      <c r="J25" s="50">
        <v>1</v>
      </c>
      <c r="K25" s="50">
        <v>55622</v>
      </c>
      <c r="L25" s="51">
        <v>30172816</v>
      </c>
      <c r="M25" s="51">
        <v>17865747</v>
      </c>
      <c r="N25" s="51">
        <v>1401983</v>
      </c>
      <c r="O25" s="51">
        <v>49440546</v>
      </c>
      <c r="P25" s="51">
        <v>1208004956</v>
      </c>
      <c r="Q25" s="52">
        <v>119928</v>
      </c>
      <c r="R25" s="22">
        <v>28847</v>
      </c>
      <c r="S25" s="51">
        <f t="shared" si="0"/>
        <v>10072.751617637248</v>
      </c>
      <c r="T25" s="53">
        <v>7.83</v>
      </c>
      <c r="U25" s="158">
        <v>0.30730000000000002</v>
      </c>
      <c r="V25" s="158">
        <v>-0.254</v>
      </c>
      <c r="W25" s="54">
        <f t="shared" si="1"/>
        <v>0.61028484596428201</v>
      </c>
      <c r="X25" s="55">
        <f>RawData[[#This Row],[Total State Aid]]/RawData[[#This Row],[Public high school graduates, 2022-23]]</f>
        <v>1713.888653932818</v>
      </c>
      <c r="Y25" s="56">
        <v>0.35520000000000002</v>
      </c>
      <c r="Z25" s="57">
        <v>0.7664825977926657</v>
      </c>
      <c r="AA25" s="48">
        <v>3.2</v>
      </c>
      <c r="AB25" s="56">
        <v>0.36499999999999999</v>
      </c>
      <c r="AC25" s="151">
        <v>2210</v>
      </c>
      <c r="AD25" s="149">
        <v>0.72340000000000004</v>
      </c>
      <c r="AE25" s="149">
        <v>0.246</v>
      </c>
      <c r="AF25" s="150">
        <v>9</v>
      </c>
      <c r="AG25" s="23">
        <v>60910</v>
      </c>
      <c r="AH25" s="23">
        <v>52642</v>
      </c>
      <c r="AI25" s="23">
        <v>-8268</v>
      </c>
      <c r="AJ25" s="59">
        <v>-0.13574126362800598</v>
      </c>
      <c r="AK25" s="59">
        <v>-0.128</v>
      </c>
      <c r="AL25" s="23">
        <v>15271.000091552734</v>
      </c>
      <c r="AM25" s="23">
        <v>13636.666687011719</v>
      </c>
      <c r="AN25" s="23">
        <v>1378.6666617393494</v>
      </c>
      <c r="AO25" s="59">
        <v>0.40204745531082153</v>
      </c>
      <c r="AP25" s="59">
        <v>0.61503297090530396</v>
      </c>
      <c r="AQ25" s="59">
        <v>0.25024178624153137</v>
      </c>
      <c r="AR25" s="59">
        <v>0.56899999999999995</v>
      </c>
      <c r="AS25" s="59">
        <v>0.80600000000000005</v>
      </c>
      <c r="AT25" s="59">
        <v>0.36499999999999999</v>
      </c>
      <c r="AU25" s="161">
        <v>0</v>
      </c>
      <c r="AV25" s="161">
        <v>880315637</v>
      </c>
      <c r="AW25" s="59">
        <v>0</v>
      </c>
      <c r="AX25" s="48" t="s">
        <v>52</v>
      </c>
      <c r="AY25" s="48" t="s">
        <v>53</v>
      </c>
      <c r="AZ25" s="48"/>
      <c r="BA25" s="48" t="s">
        <v>53</v>
      </c>
      <c r="BB25" s="48" t="s">
        <v>53</v>
      </c>
      <c r="BC25" s="48" t="s">
        <v>53</v>
      </c>
      <c r="BD25" s="48" t="s">
        <v>60</v>
      </c>
      <c r="BE25" s="48" t="s">
        <v>60</v>
      </c>
      <c r="BF25" s="48" t="s">
        <v>60</v>
      </c>
      <c r="BG25" s="48">
        <f>IF(OR(RawData[[#This Row],[Existing partner and/or SHEEO?]]="Existing Partner",RawData[[#This Row],[Existing partner and/or SHEEO?]]="SHEEO",RawData[[#This Row],[Existing partner and/or SHEEO?]]="Both"),2,0)+IF(ISBLANK(RawData[[#This Row],[Contact with CUNY ASAP Replication Team? (Through Spring 2025)]]),0,1)</f>
        <v>1</v>
      </c>
      <c r="BH25" s="49" t="s">
        <v>53</v>
      </c>
      <c r="BI25" s="49" t="s">
        <v>53</v>
      </c>
      <c r="BJ25" s="49" t="s">
        <v>53</v>
      </c>
      <c r="BK25" s="49" t="s">
        <v>53</v>
      </c>
      <c r="BL25" s="49" t="s">
        <v>53</v>
      </c>
      <c r="BM25" s="49" t="s">
        <v>53</v>
      </c>
      <c r="BN25" s="49" t="s">
        <v>53</v>
      </c>
      <c r="BO25" s="48">
        <f t="shared" si="2"/>
        <v>3</v>
      </c>
    </row>
    <row r="26" spans="1:67" x14ac:dyDescent="0.3">
      <c r="A26" s="50" t="s">
        <v>114</v>
      </c>
      <c r="B26" s="50" t="s">
        <v>115</v>
      </c>
      <c r="C26" s="50" t="s">
        <v>307</v>
      </c>
      <c r="D26" s="50" t="s">
        <v>307</v>
      </c>
      <c r="E26" s="50">
        <v>3140</v>
      </c>
      <c r="F26" s="50">
        <v>14</v>
      </c>
      <c r="G26" s="50">
        <v>7</v>
      </c>
      <c r="H26" s="50">
        <v>51019</v>
      </c>
      <c r="I26" s="50">
        <v>13</v>
      </c>
      <c r="J26" s="50">
        <v>2</v>
      </c>
      <c r="K26" s="50">
        <v>84081</v>
      </c>
      <c r="L26" s="51">
        <v>75647423</v>
      </c>
      <c r="M26" s="51">
        <v>73711798</v>
      </c>
      <c r="N26" s="51"/>
      <c r="O26" s="51">
        <v>149359221</v>
      </c>
      <c r="P26" s="51">
        <v>1397562016</v>
      </c>
      <c r="Q26" s="52">
        <v>146201</v>
      </c>
      <c r="R26" s="22">
        <v>61558</v>
      </c>
      <c r="S26" s="51">
        <f t="shared" si="0"/>
        <v>9559.1823311742046</v>
      </c>
      <c r="T26" s="53">
        <v>3.88</v>
      </c>
      <c r="U26" s="158">
        <v>0.73609999999999998</v>
      </c>
      <c r="V26" s="158">
        <v>-0.17100000000000001</v>
      </c>
      <c r="W26" s="54">
        <f t="shared" si="1"/>
        <v>0.50647976397787986</v>
      </c>
      <c r="X26" s="55">
        <f>RawData[[#This Row],[Total State Aid]]/RawData[[#This Row],[Public high school graduates, 2022-23]]</f>
        <v>2426.3169856070699</v>
      </c>
      <c r="Y26" s="56">
        <v>0.2964</v>
      </c>
      <c r="Z26" s="57">
        <v>1.0000436324769584</v>
      </c>
      <c r="AA26" s="48">
        <v>3.7</v>
      </c>
      <c r="AB26" s="56">
        <v>0.42699999999999999</v>
      </c>
      <c r="AC26" s="151">
        <v>2668</v>
      </c>
      <c r="AD26" s="149">
        <v>0.73329999999999995</v>
      </c>
      <c r="AE26" s="149">
        <v>0.33700000000000002</v>
      </c>
      <c r="AF26" s="150">
        <v>15.67</v>
      </c>
      <c r="AG26" s="23">
        <v>57276</v>
      </c>
      <c r="AH26" s="23">
        <v>50048</v>
      </c>
      <c r="AI26" s="23">
        <v>-7228</v>
      </c>
      <c r="AJ26" s="59">
        <v>-0.12619596719741821</v>
      </c>
      <c r="AK26" s="59">
        <v>-0.154</v>
      </c>
      <c r="AL26" s="23">
        <v>13744.666839599609</v>
      </c>
      <c r="AM26" s="23">
        <v>13181.333282470703</v>
      </c>
      <c r="AN26" s="23">
        <v>3868.6666469573975</v>
      </c>
      <c r="AO26" s="59">
        <v>0.33482077717781067</v>
      </c>
      <c r="AP26" s="59">
        <v>0.62391257286071777</v>
      </c>
      <c r="AQ26" s="59">
        <v>0.37627089023590088</v>
      </c>
      <c r="AR26" s="59">
        <v>0.59099999999999997</v>
      </c>
      <c r="AS26" s="59">
        <v>0.79200000000000004</v>
      </c>
      <c r="AT26" s="59">
        <v>0.45500000000000002</v>
      </c>
      <c r="AU26" s="161">
        <v>0</v>
      </c>
      <c r="AV26" s="161">
        <v>1116896513</v>
      </c>
      <c r="AW26" s="59">
        <v>0</v>
      </c>
      <c r="AX26" s="48" t="s">
        <v>52</v>
      </c>
      <c r="AY26" s="48" t="s">
        <v>53</v>
      </c>
      <c r="AZ26" s="48"/>
      <c r="BA26" s="48" t="s">
        <v>53</v>
      </c>
      <c r="BB26" s="48" t="s">
        <v>53</v>
      </c>
      <c r="BC26" s="48" t="s">
        <v>60</v>
      </c>
      <c r="BD26" s="48" t="s">
        <v>53</v>
      </c>
      <c r="BE26" s="48" t="s">
        <v>60</v>
      </c>
      <c r="BF26" s="48" t="s">
        <v>60</v>
      </c>
      <c r="BG26" s="48">
        <f>IF(OR(RawData[[#This Row],[Existing partner and/or SHEEO?]]="Existing Partner",RawData[[#This Row],[Existing partner and/or SHEEO?]]="SHEEO",RawData[[#This Row],[Existing partner and/or SHEEO?]]="Both"),2,0)+IF(ISBLANK(RawData[[#This Row],[Contact with CUNY ASAP Replication Team? (Through Spring 2025)]]),0,1)</f>
        <v>1</v>
      </c>
      <c r="BH26" s="49" t="s">
        <v>53</v>
      </c>
      <c r="BI26" s="49" t="s">
        <v>53</v>
      </c>
      <c r="BJ26" s="49" t="s">
        <v>53</v>
      </c>
      <c r="BK26" s="49" t="s">
        <v>53</v>
      </c>
      <c r="BL26" s="49" t="s">
        <v>53</v>
      </c>
      <c r="BM26" s="49" t="s">
        <v>53</v>
      </c>
      <c r="BN26" s="49" t="s">
        <v>53</v>
      </c>
      <c r="BO26" s="48">
        <f t="shared" si="2"/>
        <v>3</v>
      </c>
    </row>
    <row r="27" spans="1:67" x14ac:dyDescent="0.3">
      <c r="A27" s="50" t="s">
        <v>116</v>
      </c>
      <c r="B27" s="50" t="s">
        <v>117</v>
      </c>
      <c r="C27" s="50" t="s">
        <v>307</v>
      </c>
      <c r="D27" s="50" t="s">
        <v>307</v>
      </c>
      <c r="E27" s="50">
        <v>553</v>
      </c>
      <c r="F27" s="50">
        <v>9</v>
      </c>
      <c r="G27" s="50">
        <v>5</v>
      </c>
      <c r="H27" s="50">
        <v>4771</v>
      </c>
      <c r="I27" s="50">
        <v>9</v>
      </c>
      <c r="J27" s="50">
        <v>1</v>
      </c>
      <c r="K27" s="50">
        <v>26887</v>
      </c>
      <c r="L27" s="51">
        <v>737161</v>
      </c>
      <c r="M27" s="51"/>
      <c r="N27" s="51">
        <v>815780</v>
      </c>
      <c r="O27" s="51">
        <v>1552941</v>
      </c>
      <c r="P27" s="51">
        <v>295803724</v>
      </c>
      <c r="Q27" s="52">
        <v>33811</v>
      </c>
      <c r="R27" s="22">
        <v>9543</v>
      </c>
      <c r="S27" s="51">
        <f t="shared" si="0"/>
        <v>8748.7422436485176</v>
      </c>
      <c r="T27" s="53">
        <v>4.4000000000000004</v>
      </c>
      <c r="U27" s="158">
        <v>0.4773</v>
      </c>
      <c r="V27" s="158">
        <v>-0.20200000000000001</v>
      </c>
      <c r="W27" s="54">
        <f t="shared" si="1"/>
        <v>0.47468706151746909</v>
      </c>
      <c r="X27" s="55">
        <f>RawData[[#This Row],[Total State Aid]]/RawData[[#This Row],[Public high school graduates, 2022-23]]</f>
        <v>162.73090223200251</v>
      </c>
      <c r="Y27" s="56">
        <v>0.24010000000000001</v>
      </c>
      <c r="Z27" s="57">
        <v>1.139582587178068</v>
      </c>
      <c r="AA27" s="48">
        <v>3</v>
      </c>
      <c r="AB27" s="56">
        <v>0.45700000000000002</v>
      </c>
      <c r="AC27" s="151">
        <v>2326</v>
      </c>
      <c r="AD27" s="149">
        <v>0.55810000000000004</v>
      </c>
      <c r="AE27" s="149">
        <v>0.35399999999999998</v>
      </c>
      <c r="AF27" s="150">
        <v>11.18</v>
      </c>
      <c r="AG27" s="23">
        <v>5124</v>
      </c>
      <c r="AH27" s="23">
        <v>4869</v>
      </c>
      <c r="AI27" s="23">
        <v>-255</v>
      </c>
      <c r="AJ27" s="59">
        <v>-4.9765806645154953E-2</v>
      </c>
      <c r="AK27" s="59">
        <v>-7.4999999999999997E-2</v>
      </c>
      <c r="AL27" s="23">
        <v>985.5</v>
      </c>
      <c r="AM27" s="23">
        <v>925.66667175292969</v>
      </c>
      <c r="AN27" s="23">
        <v>254.99999713897705</v>
      </c>
      <c r="AO27" s="59">
        <v>0.32166412472724915</v>
      </c>
      <c r="AP27" s="59">
        <v>0.55887651443481445</v>
      </c>
      <c r="AQ27" s="59">
        <v>0.40130719542503357</v>
      </c>
      <c r="AR27" s="59">
        <v>0.51600000000000001</v>
      </c>
      <c r="AS27" s="59">
        <v>0.74399999999999999</v>
      </c>
      <c r="AT27" s="59">
        <v>0.51300000000000001</v>
      </c>
      <c r="AU27" s="161">
        <v>11944863</v>
      </c>
      <c r="AV27" s="161">
        <v>263198815</v>
      </c>
      <c r="AW27" s="59">
        <v>4.4999999999999998E-2</v>
      </c>
      <c r="AX27" s="48" t="s">
        <v>52</v>
      </c>
      <c r="AY27" s="48" t="s">
        <v>60</v>
      </c>
      <c r="AZ27" s="48" t="s">
        <v>118</v>
      </c>
      <c r="BA27" s="48" t="s">
        <v>60</v>
      </c>
      <c r="BB27" s="48" t="s">
        <v>60</v>
      </c>
      <c r="BC27" s="48" t="s">
        <v>60</v>
      </c>
      <c r="BD27" s="48" t="s">
        <v>60</v>
      </c>
      <c r="BE27" s="48" t="s">
        <v>60</v>
      </c>
      <c r="BF27" s="48" t="s">
        <v>53</v>
      </c>
      <c r="BG27" s="48">
        <f>IF(OR(RawData[[#This Row],[Existing partner and/or SHEEO?]]="Existing Partner",RawData[[#This Row],[Existing partner and/or SHEEO?]]="SHEEO",RawData[[#This Row],[Existing partner and/or SHEEO?]]="Both"),2,0)+IF(ISBLANK(RawData[[#This Row],[Contact with CUNY ASAP Replication Team? (Through Spring 2025)]]),0,1)</f>
        <v>1</v>
      </c>
      <c r="BH27" s="49" t="s">
        <v>53</v>
      </c>
      <c r="BI27" s="23" t="s">
        <v>60</v>
      </c>
      <c r="BJ27" s="49" t="s">
        <v>53</v>
      </c>
      <c r="BK27" s="49" t="s">
        <v>53</v>
      </c>
      <c r="BL27" s="49" t="s">
        <v>53</v>
      </c>
      <c r="BM27" s="49" t="s">
        <v>53</v>
      </c>
      <c r="BN27" s="49" t="s">
        <v>53</v>
      </c>
      <c r="BO27" s="48">
        <f t="shared" si="2"/>
        <v>5</v>
      </c>
    </row>
    <row r="28" spans="1:67" x14ac:dyDescent="0.3">
      <c r="A28" s="50" t="s">
        <v>119</v>
      </c>
      <c r="B28" s="50" t="s">
        <v>120</v>
      </c>
      <c r="C28" s="50" t="s">
        <v>307</v>
      </c>
      <c r="D28" s="50" t="s">
        <v>307</v>
      </c>
      <c r="E28" s="50">
        <v>967</v>
      </c>
      <c r="F28" s="50">
        <v>8</v>
      </c>
      <c r="G28" s="50">
        <v>3</v>
      </c>
      <c r="H28" s="50">
        <v>22712</v>
      </c>
      <c r="I28" s="50">
        <v>8</v>
      </c>
      <c r="J28" s="50">
        <v>1</v>
      </c>
      <c r="K28" s="50">
        <v>40569</v>
      </c>
      <c r="L28" s="51">
        <v>28477668</v>
      </c>
      <c r="M28" s="51">
        <v>13000000</v>
      </c>
      <c r="N28" s="51">
        <v>3746296</v>
      </c>
      <c r="O28" s="51">
        <v>45223964</v>
      </c>
      <c r="P28" s="51">
        <v>1072464238</v>
      </c>
      <c r="Q28" s="52">
        <v>73117</v>
      </c>
      <c r="R28" s="22">
        <v>22213</v>
      </c>
      <c r="S28" s="51">
        <f t="shared" si="0"/>
        <v>14667.782294131324</v>
      </c>
      <c r="T28" s="53">
        <v>8.4600000000000009</v>
      </c>
      <c r="U28" s="158">
        <v>0.44819999999999999</v>
      </c>
      <c r="V28" s="158">
        <v>-9.2999999999999999E-2</v>
      </c>
      <c r="W28" s="54">
        <f t="shared" si="1"/>
        <v>0.62970304858724901</v>
      </c>
      <c r="X28" s="55">
        <f>RawData[[#This Row],[Total State Aid]]/RawData[[#This Row],[Public high school graduates, 2022-23]]</f>
        <v>2035.9232881645883</v>
      </c>
      <c r="Y28" s="56">
        <v>0.24199999999999999</v>
      </c>
      <c r="Z28" s="57">
        <v>1.2927740137944159</v>
      </c>
      <c r="AA28" s="48">
        <v>2.8</v>
      </c>
      <c r="AB28" s="56">
        <v>0.48699999999999999</v>
      </c>
      <c r="AC28" s="151">
        <v>3753</v>
      </c>
      <c r="AD28" s="149">
        <v>0.55249999999999999</v>
      </c>
      <c r="AE28" s="149">
        <v>0.36699999999999999</v>
      </c>
      <c r="AF28" s="150">
        <v>17.239999999999998</v>
      </c>
      <c r="AG28" s="23">
        <v>25921</v>
      </c>
      <c r="AH28" s="23">
        <v>23284</v>
      </c>
      <c r="AI28" s="23">
        <v>-2637</v>
      </c>
      <c r="AJ28" s="59">
        <v>-0.10173218697309494</v>
      </c>
      <c r="AK28" s="59">
        <v>-2.5999999999999999E-2</v>
      </c>
      <c r="AL28" s="23">
        <v>3987.3333835601807</v>
      </c>
      <c r="AM28" s="23">
        <v>3840.6667222976685</v>
      </c>
      <c r="AN28" s="23">
        <v>1496.6666488647461</v>
      </c>
      <c r="AO28" s="59">
        <v>0.37928441166877747</v>
      </c>
      <c r="AP28" s="59">
        <v>0.62949138879776001</v>
      </c>
      <c r="AQ28" s="59">
        <v>0.41625836491584778</v>
      </c>
      <c r="AR28" s="59">
        <v>0.58699999999999997</v>
      </c>
      <c r="AS28" s="59">
        <v>0.77700000000000002</v>
      </c>
      <c r="AT28" s="59">
        <v>0.42399999999999999</v>
      </c>
      <c r="AU28" s="161">
        <v>0</v>
      </c>
      <c r="AV28" s="161">
        <v>879370300</v>
      </c>
      <c r="AW28" s="59">
        <v>0</v>
      </c>
      <c r="AX28" s="48" t="s">
        <v>52</v>
      </c>
      <c r="AY28" s="48" t="s">
        <v>60</v>
      </c>
      <c r="AZ28" s="48" t="s">
        <v>59</v>
      </c>
      <c r="BA28" s="48" t="s">
        <v>53</v>
      </c>
      <c r="BB28" s="48" t="s">
        <v>53</v>
      </c>
      <c r="BC28" s="48" t="s">
        <v>53</v>
      </c>
      <c r="BD28" s="48" t="s">
        <v>60</v>
      </c>
      <c r="BE28" s="48" t="s">
        <v>53</v>
      </c>
      <c r="BF28" s="48" t="s">
        <v>53</v>
      </c>
      <c r="BG28" s="48">
        <f>IF(OR(RawData[[#This Row],[Existing partner and/or SHEEO?]]="Existing Partner",RawData[[#This Row],[Existing partner and/or SHEEO?]]="SHEEO",RawData[[#This Row],[Existing partner and/or SHEEO?]]="Both"),2,0)+IF(ISBLANK(RawData[[#This Row],[Contact with CUNY ASAP Replication Team? (Through Spring 2025)]]),0,1)</f>
        <v>1</v>
      </c>
      <c r="BH28" s="49" t="s">
        <v>53</v>
      </c>
      <c r="BI28" s="49" t="s">
        <v>53</v>
      </c>
      <c r="BJ28" s="49" t="s">
        <v>53</v>
      </c>
      <c r="BK28" s="49" t="s">
        <v>53</v>
      </c>
      <c r="BL28" s="49" t="s">
        <v>53</v>
      </c>
      <c r="BM28" s="49" t="s">
        <v>53</v>
      </c>
      <c r="BN28" s="49" t="s">
        <v>53</v>
      </c>
      <c r="BO28" s="48">
        <f t="shared" si="2"/>
        <v>1</v>
      </c>
    </row>
    <row r="29" spans="1:67" x14ac:dyDescent="0.3">
      <c r="A29" s="50" t="s">
        <v>121</v>
      </c>
      <c r="B29" s="50" t="s">
        <v>122</v>
      </c>
      <c r="C29" s="50" t="s">
        <v>307</v>
      </c>
      <c r="D29" s="50" t="s">
        <v>311</v>
      </c>
      <c r="E29" s="50">
        <v>1674</v>
      </c>
      <c r="F29" s="50">
        <v>4</v>
      </c>
      <c r="G29" s="50">
        <v>0</v>
      </c>
      <c r="H29" s="50">
        <v>27884</v>
      </c>
      <c r="I29" s="50">
        <v>3</v>
      </c>
      <c r="J29" s="50">
        <v>1</v>
      </c>
      <c r="K29" s="50">
        <v>41895</v>
      </c>
      <c r="L29" s="51">
        <v>22323832</v>
      </c>
      <c r="M29" s="51">
        <v>39204724</v>
      </c>
      <c r="N29" s="51">
        <v>20225084</v>
      </c>
      <c r="O29" s="51">
        <v>81753640</v>
      </c>
      <c r="P29" s="51">
        <v>746558669</v>
      </c>
      <c r="Q29" s="52">
        <v>75330</v>
      </c>
      <c r="R29" s="22">
        <v>31502</v>
      </c>
      <c r="S29" s="51">
        <f t="shared" si="0"/>
        <v>9910.5093455462629</v>
      </c>
      <c r="T29" s="53">
        <v>3.92</v>
      </c>
      <c r="U29" s="158">
        <v>0.1409</v>
      </c>
      <c r="V29" s="158">
        <v>-0.23699999999999999</v>
      </c>
      <c r="W29" s="54">
        <f t="shared" si="1"/>
        <v>0.27306223918592493</v>
      </c>
      <c r="X29" s="55">
        <f>RawData[[#This Row],[Total State Aid]]/RawData[[#This Row],[Public high school graduates, 2022-23]]</f>
        <v>2595.1888768967051</v>
      </c>
      <c r="Y29" s="56">
        <v>0.2437</v>
      </c>
      <c r="Z29" s="57">
        <v>0.90826412798875666</v>
      </c>
      <c r="AA29" s="48">
        <v>5.6</v>
      </c>
      <c r="AB29" s="56">
        <v>0.36</v>
      </c>
      <c r="AC29" s="151">
        <v>2348</v>
      </c>
      <c r="AD29" s="149">
        <v>0.61109999999999998</v>
      </c>
      <c r="AE29" s="149">
        <v>0.27200000000000002</v>
      </c>
      <c r="AF29" s="150">
        <v>12.22</v>
      </c>
      <c r="AG29" s="23">
        <v>31134</v>
      </c>
      <c r="AH29" s="23">
        <v>27267</v>
      </c>
      <c r="AI29" s="23">
        <v>-3867</v>
      </c>
      <c r="AJ29" s="59">
        <v>-0.12420505285263062</v>
      </c>
      <c r="AK29" s="59">
        <v>-1.6E-2</v>
      </c>
      <c r="AL29" s="23">
        <v>3169.6665954589844</v>
      </c>
      <c r="AM29" s="23">
        <v>11</v>
      </c>
      <c r="AN29" s="23">
        <v>16.333333969116211</v>
      </c>
      <c r="AO29" s="59">
        <v>0.21411295235157013</v>
      </c>
      <c r="AP29" s="59">
        <v>0.57575756311416626</v>
      </c>
      <c r="AQ29" s="59">
        <v>0.44897958636283875</v>
      </c>
      <c r="AR29" s="59">
        <v>0.54100000000000004</v>
      </c>
      <c r="AS29" s="59">
        <v>0.78700000000000003</v>
      </c>
      <c r="AT29" s="59">
        <v>0.39200000000000002</v>
      </c>
      <c r="AU29" s="161">
        <v>109487799</v>
      </c>
      <c r="AV29" s="161">
        <v>721423424</v>
      </c>
      <c r="AW29" s="59">
        <v>0.152</v>
      </c>
      <c r="AX29" s="48" t="s">
        <v>52</v>
      </c>
      <c r="AY29" s="48" t="s">
        <v>53</v>
      </c>
      <c r="AZ29" s="48"/>
      <c r="BA29" s="48" t="s">
        <v>60</v>
      </c>
      <c r="BB29" s="48" t="s">
        <v>60</v>
      </c>
      <c r="BC29" s="48" t="s">
        <v>60</v>
      </c>
      <c r="BD29" s="48" t="s">
        <v>60</v>
      </c>
      <c r="BE29" s="48" t="s">
        <v>60</v>
      </c>
      <c r="BF29" s="48" t="s">
        <v>60</v>
      </c>
      <c r="BG29" s="48">
        <f>IF(OR(RawData[[#This Row],[Existing partner and/or SHEEO?]]="Existing Partner",RawData[[#This Row],[Existing partner and/or SHEEO?]]="SHEEO",RawData[[#This Row],[Existing partner and/or SHEEO?]]="Both"),2,0)+IF(ISBLANK(RawData[[#This Row],[Contact with CUNY ASAP Replication Team? (Through Spring 2025)]]),0,1)</f>
        <v>1</v>
      </c>
      <c r="BH29" s="49" t="s">
        <v>53</v>
      </c>
      <c r="BI29" s="49" t="s">
        <v>53</v>
      </c>
      <c r="BJ29" s="49" t="s">
        <v>53</v>
      </c>
      <c r="BK29" s="49" t="s">
        <v>53</v>
      </c>
      <c r="BL29" s="49" t="s">
        <v>53</v>
      </c>
      <c r="BM29" s="49" t="s">
        <v>53</v>
      </c>
      <c r="BN29" s="49" t="s">
        <v>53</v>
      </c>
      <c r="BO29" s="48">
        <f t="shared" si="2"/>
        <v>6</v>
      </c>
    </row>
    <row r="30" spans="1:67" x14ac:dyDescent="0.3">
      <c r="A30" s="50" t="s">
        <v>123</v>
      </c>
      <c r="B30" s="50" t="s">
        <v>124</v>
      </c>
      <c r="C30" s="50" t="s">
        <v>307</v>
      </c>
      <c r="D30" s="50" t="s">
        <v>307</v>
      </c>
      <c r="E30" s="50">
        <v>739</v>
      </c>
      <c r="F30" s="50">
        <v>7</v>
      </c>
      <c r="G30" s="50">
        <v>5</v>
      </c>
      <c r="H30" s="50">
        <v>7186</v>
      </c>
      <c r="I30" s="50">
        <v>5</v>
      </c>
      <c r="J30" s="50">
        <v>1</v>
      </c>
      <c r="K30" s="50">
        <v>20550</v>
      </c>
      <c r="L30" s="51">
        <v>2295580</v>
      </c>
      <c r="M30" s="51">
        <v>1580554</v>
      </c>
      <c r="N30" s="51"/>
      <c r="O30" s="51">
        <v>3876134</v>
      </c>
      <c r="P30" s="51">
        <v>154411553</v>
      </c>
      <c r="Q30" s="52">
        <v>30009</v>
      </c>
      <c r="R30" s="22">
        <v>12034</v>
      </c>
      <c r="S30" s="51">
        <f t="shared" si="0"/>
        <v>5145.508114232397</v>
      </c>
      <c r="T30" s="53">
        <v>1.54</v>
      </c>
      <c r="U30" s="158">
        <v>0.74609999999999999</v>
      </c>
      <c r="V30" s="158">
        <v>0.20899999999999999</v>
      </c>
      <c r="W30" s="54">
        <f t="shared" si="1"/>
        <v>0.59223442739595689</v>
      </c>
      <c r="X30" s="55">
        <f>RawData[[#This Row],[Total State Aid]]/RawData[[#This Row],[Public high school graduates, 2022-23]]</f>
        <v>322.09855409672593</v>
      </c>
      <c r="Y30" s="56">
        <v>0.3095</v>
      </c>
      <c r="Z30" s="57">
        <v>0.89323778395826148</v>
      </c>
      <c r="AA30" s="48">
        <v>2.6</v>
      </c>
      <c r="AB30" s="56">
        <v>0.51700000000000002</v>
      </c>
      <c r="AC30" s="151">
        <v>3112</v>
      </c>
      <c r="AD30" s="149">
        <v>0.6079</v>
      </c>
      <c r="AE30" s="149">
        <v>0.41399999999999998</v>
      </c>
      <c r="AF30" s="150">
        <v>14.17</v>
      </c>
      <c r="AG30" s="23">
        <v>9013</v>
      </c>
      <c r="AH30" s="23">
        <v>7095</v>
      </c>
      <c r="AI30" s="23">
        <v>-1918</v>
      </c>
      <c r="AJ30" s="59">
        <v>-0.21280372142791748</v>
      </c>
      <c r="AK30" s="59">
        <v>-0.16</v>
      </c>
      <c r="AL30" s="23">
        <v>1447.0000076293945</v>
      </c>
      <c r="AM30" s="23">
        <v>1322.6666679382324</v>
      </c>
      <c r="AN30" s="23">
        <v>977.33333587646484</v>
      </c>
      <c r="AO30" s="59">
        <v>0.33494585752487183</v>
      </c>
      <c r="AP30" s="59">
        <v>0.59097784757614136</v>
      </c>
      <c r="AQ30" s="59">
        <v>0.45736697316169739</v>
      </c>
      <c r="AR30" s="59">
        <v>0.67700000000000005</v>
      </c>
      <c r="AS30" s="59">
        <v>0.79900000000000004</v>
      </c>
      <c r="AT30" s="59">
        <v>0.55900000000000005</v>
      </c>
      <c r="AU30" s="161">
        <v>0</v>
      </c>
      <c r="AV30" s="161">
        <v>153315129</v>
      </c>
      <c r="AW30" s="59">
        <v>0</v>
      </c>
      <c r="AX30" s="48" t="s">
        <v>52</v>
      </c>
      <c r="AY30" s="48" t="s">
        <v>53</v>
      </c>
      <c r="AZ30" s="48"/>
      <c r="BA30" s="48" t="s">
        <v>53</v>
      </c>
      <c r="BB30" s="48" t="s">
        <v>53</v>
      </c>
      <c r="BC30" s="48" t="s">
        <v>60</v>
      </c>
      <c r="BD30" s="48" t="s">
        <v>53</v>
      </c>
      <c r="BE30" s="48" t="s">
        <v>53</v>
      </c>
      <c r="BF30" s="48" t="s">
        <v>53</v>
      </c>
      <c r="BG30" s="48">
        <f>IF(OR(RawData[[#This Row],[Existing partner and/or SHEEO?]]="Existing Partner",RawData[[#This Row],[Existing partner and/or SHEEO?]]="SHEEO",RawData[[#This Row],[Existing partner and/or SHEEO?]]="Both"),2,0)+IF(ISBLANK(RawData[[#This Row],[Contact with CUNY ASAP Replication Team? (Through Spring 2025)]]),0,1)</f>
        <v>1</v>
      </c>
      <c r="BH30" s="49" t="s">
        <v>53</v>
      </c>
      <c r="BI30" s="49" t="s">
        <v>53</v>
      </c>
      <c r="BJ30" s="49" t="s">
        <v>53</v>
      </c>
      <c r="BK30" s="49" t="s">
        <v>53</v>
      </c>
      <c r="BL30" s="49" t="s">
        <v>53</v>
      </c>
      <c r="BM30" s="49" t="s">
        <v>53</v>
      </c>
      <c r="BN30" s="49" t="s">
        <v>53</v>
      </c>
      <c r="BO30" s="48">
        <f t="shared" si="2"/>
        <v>1</v>
      </c>
    </row>
    <row r="31" spans="1:67" ht="26" x14ac:dyDescent="0.3">
      <c r="A31" s="50" t="s">
        <v>125</v>
      </c>
      <c r="B31" s="50" t="s">
        <v>126</v>
      </c>
      <c r="C31" s="50" t="s">
        <v>311</v>
      </c>
      <c r="D31" s="50" t="s">
        <v>311</v>
      </c>
      <c r="E31" s="50">
        <v>4897</v>
      </c>
      <c r="F31" s="50">
        <v>19</v>
      </c>
      <c r="G31" s="50">
        <v>15</v>
      </c>
      <c r="H31" s="50">
        <v>84613</v>
      </c>
      <c r="I31" s="50">
        <v>13</v>
      </c>
      <c r="J31" s="50">
        <v>0</v>
      </c>
      <c r="K31" s="50">
        <v>134966</v>
      </c>
      <c r="L31" s="51">
        <v>485985790</v>
      </c>
      <c r="M31" s="51">
        <v>7268206</v>
      </c>
      <c r="N31" s="51">
        <v>30000</v>
      </c>
      <c r="O31" s="51">
        <v>493283996</v>
      </c>
      <c r="P31" s="51">
        <v>3090507000</v>
      </c>
      <c r="Q31" s="52">
        <v>245657</v>
      </c>
      <c r="R31" s="22">
        <v>97119</v>
      </c>
      <c r="S31" s="51">
        <f t="shared" si="0"/>
        <v>12580.577797498137</v>
      </c>
      <c r="T31" s="53">
        <v>4.12</v>
      </c>
      <c r="U31" s="158">
        <v>0.42380000000000001</v>
      </c>
      <c r="V31" s="158">
        <v>-0.14499999999999999</v>
      </c>
      <c r="W31" s="54">
        <f t="shared" si="1"/>
        <v>0.98520485955518411</v>
      </c>
      <c r="X31" s="55">
        <f>RawData[[#This Row],[Total State Aid]]/RawData[[#This Row],[Public high school graduates, 2022-23]]</f>
        <v>5079.1708728467138</v>
      </c>
      <c r="Y31" s="56">
        <v>0.33329999999999999</v>
      </c>
      <c r="Z31" s="57">
        <v>0.72282514369723017</v>
      </c>
      <c r="AA31" s="48">
        <v>4.5</v>
      </c>
      <c r="AB31" s="56">
        <v>0.52800000000000002</v>
      </c>
      <c r="AC31" s="151">
        <v>2066</v>
      </c>
      <c r="AD31" s="149">
        <v>1.0193000000000001</v>
      </c>
      <c r="AE31" s="149">
        <v>0.45800000000000002</v>
      </c>
      <c r="AF31" s="150">
        <v>12.98</v>
      </c>
      <c r="AG31" s="23">
        <v>99904</v>
      </c>
      <c r="AH31" s="23">
        <v>83752</v>
      </c>
      <c r="AI31" s="23">
        <v>-16152</v>
      </c>
      <c r="AJ31" s="59">
        <v>-0.16167521476745605</v>
      </c>
      <c r="AK31" s="59">
        <v>-5.8999999999999997E-2</v>
      </c>
      <c r="AL31" s="23">
        <v>20118.666656494141</v>
      </c>
      <c r="AM31" s="23">
        <v>18533.000015258789</v>
      </c>
      <c r="AN31" s="23">
        <v>6389.9999618530273</v>
      </c>
      <c r="AO31" s="59">
        <v>0.28285506367683411</v>
      </c>
      <c r="AP31" s="59">
        <v>0.64904046058654785</v>
      </c>
      <c r="AQ31" s="59">
        <v>0.4642670750617981</v>
      </c>
      <c r="AR31" s="59">
        <v>0.70599999999999996</v>
      </c>
      <c r="AS31" s="59">
        <v>0.85199999999999998</v>
      </c>
      <c r="AT31" s="59">
        <v>0.59199999999999997</v>
      </c>
      <c r="AU31" s="161">
        <v>319626000</v>
      </c>
      <c r="AV31" s="161">
        <v>2388683000</v>
      </c>
      <c r="AW31" s="59">
        <v>0.13400000000000001</v>
      </c>
      <c r="AX31" s="48" t="s">
        <v>69</v>
      </c>
      <c r="AY31" s="48" t="s">
        <v>60</v>
      </c>
      <c r="AZ31" s="48" t="s">
        <v>127</v>
      </c>
      <c r="BA31" s="48" t="s">
        <v>60</v>
      </c>
      <c r="BB31" s="48" t="s">
        <v>60</v>
      </c>
      <c r="BC31" s="48" t="s">
        <v>60</v>
      </c>
      <c r="BD31" s="48" t="s">
        <v>60</v>
      </c>
      <c r="BE31" s="48" t="s">
        <v>53</v>
      </c>
      <c r="BF31" s="48" t="s">
        <v>60</v>
      </c>
      <c r="BG31" s="48">
        <f>IF(OR(RawData[[#This Row],[Existing partner and/or SHEEO?]]="Existing Partner",RawData[[#This Row],[Existing partner and/or SHEEO?]]="SHEEO",RawData[[#This Row],[Existing partner and/or SHEEO?]]="Both"),2,0)+IF(ISBLANK(RawData[[#This Row],[Contact with CUNY ASAP Replication Team? (Through Spring 2025)]]),0,1)</f>
        <v>3</v>
      </c>
      <c r="BH31" s="49" t="s">
        <v>53</v>
      </c>
      <c r="BI31" s="23" t="s">
        <v>60</v>
      </c>
      <c r="BJ31" s="49" t="s">
        <v>53</v>
      </c>
      <c r="BK31" s="49" t="s">
        <v>53</v>
      </c>
      <c r="BL31" s="49" t="s">
        <v>53</v>
      </c>
      <c r="BM31" s="49" t="s">
        <v>53</v>
      </c>
      <c r="BN31" s="49" t="s">
        <v>53</v>
      </c>
      <c r="BO31" s="48">
        <f t="shared" si="2"/>
        <v>5</v>
      </c>
    </row>
    <row r="32" spans="1:67" x14ac:dyDescent="0.3">
      <c r="A32" s="50" t="s">
        <v>128</v>
      </c>
      <c r="B32" s="50" t="s">
        <v>129</v>
      </c>
      <c r="C32" s="50" t="s">
        <v>311</v>
      </c>
      <c r="D32" s="50" t="s">
        <v>311</v>
      </c>
      <c r="E32" s="50">
        <v>1055</v>
      </c>
      <c r="F32" s="50">
        <v>20</v>
      </c>
      <c r="G32" s="50">
        <v>16</v>
      </c>
      <c r="H32" s="50">
        <v>31314</v>
      </c>
      <c r="I32" s="50">
        <v>8</v>
      </c>
      <c r="J32" s="50">
        <v>4</v>
      </c>
      <c r="K32" s="50">
        <v>31985</v>
      </c>
      <c r="L32" s="51">
        <v>17661948</v>
      </c>
      <c r="M32" s="51">
        <v>225138399</v>
      </c>
      <c r="N32" s="51">
        <v>5010803</v>
      </c>
      <c r="O32" s="51">
        <v>247811150</v>
      </c>
      <c r="P32" s="51">
        <v>1591418041</v>
      </c>
      <c r="Q32" s="52">
        <v>73523</v>
      </c>
      <c r="R32" s="22">
        <v>19026</v>
      </c>
      <c r="S32" s="51">
        <f t="shared" si="0"/>
        <v>21645.172816669612</v>
      </c>
      <c r="T32" s="53">
        <v>12.41</v>
      </c>
      <c r="U32" s="158">
        <v>1.0361</v>
      </c>
      <c r="V32" s="158">
        <v>-7.8E-2</v>
      </c>
      <c r="W32" s="54">
        <f t="shared" si="1"/>
        <v>7.127180516292346E-2</v>
      </c>
      <c r="X32" s="55">
        <f>RawData[[#This Row],[Total State Aid]]/RawData[[#This Row],[Public high school graduates, 2022-23]]</f>
        <v>13024.868600861979</v>
      </c>
      <c r="Y32" s="56">
        <v>0.372</v>
      </c>
      <c r="Z32" s="57">
        <v>0.6636398369721338</v>
      </c>
      <c r="AA32" s="48">
        <v>4.0999999999999996</v>
      </c>
      <c r="AB32" s="56">
        <v>0.39300000000000002</v>
      </c>
      <c r="AC32" s="151">
        <v>2239</v>
      </c>
      <c r="AD32" s="149">
        <v>0.81789999999999996</v>
      </c>
      <c r="AE32" s="149">
        <v>0.29299999999999998</v>
      </c>
      <c r="AF32" s="150">
        <v>9.52</v>
      </c>
      <c r="AG32" s="23">
        <v>38467</v>
      </c>
      <c r="AH32" s="23">
        <v>31500</v>
      </c>
      <c r="AI32" s="23">
        <v>-6967</v>
      </c>
      <c r="AJ32" s="59">
        <v>-0.18111628293991089</v>
      </c>
      <c r="AK32" s="59">
        <v>-6.9000000000000006E-2</v>
      </c>
      <c r="AL32" s="23">
        <v>5934.3332939147949</v>
      </c>
      <c r="AM32" s="23">
        <v>5263.3334274291992</v>
      </c>
      <c r="AN32" s="23">
        <v>2994.6666960716248</v>
      </c>
      <c r="AO32" s="59">
        <v>0.26225915551185608</v>
      </c>
      <c r="AP32" s="59">
        <v>0.58271056413650513</v>
      </c>
      <c r="AQ32" s="59">
        <v>0.38613089919090271</v>
      </c>
      <c r="AR32" s="59">
        <v>0.49299999999999999</v>
      </c>
      <c r="AS32" s="59">
        <v>0.71099999999999997</v>
      </c>
      <c r="AT32" s="59">
        <v>0.38900000000000001</v>
      </c>
      <c r="AU32" s="161">
        <v>35852500</v>
      </c>
      <c r="AV32" s="161">
        <v>1014010184</v>
      </c>
      <c r="AW32" s="59">
        <v>3.5000000000000003E-2</v>
      </c>
      <c r="AX32" s="48" t="s">
        <v>52</v>
      </c>
      <c r="AY32" s="48" t="s">
        <v>53</v>
      </c>
      <c r="AZ32" s="48"/>
      <c r="BA32" s="48" t="s">
        <v>60</v>
      </c>
      <c r="BB32" s="48" t="s">
        <v>60</v>
      </c>
      <c r="BC32" s="48" t="s">
        <v>60</v>
      </c>
      <c r="BD32" s="48" t="s">
        <v>60</v>
      </c>
      <c r="BE32" s="48" t="s">
        <v>53</v>
      </c>
      <c r="BF32" s="48" t="s">
        <v>60</v>
      </c>
      <c r="BG32" s="48">
        <f>IF(OR(RawData[[#This Row],[Existing partner and/or SHEEO?]]="Existing Partner",RawData[[#This Row],[Existing partner and/or SHEEO?]]="SHEEO",RawData[[#This Row],[Existing partner and/or SHEEO?]]="Both"),2,0)+IF(ISBLANK(RawData[[#This Row],[Contact with CUNY ASAP Replication Team? (Through Spring 2025)]]),0,1)</f>
        <v>1</v>
      </c>
      <c r="BH32" s="49" t="s">
        <v>53</v>
      </c>
      <c r="BI32" s="49" t="s">
        <v>53</v>
      </c>
      <c r="BJ32" s="49" t="s">
        <v>53</v>
      </c>
      <c r="BK32" s="49" t="s">
        <v>53</v>
      </c>
      <c r="BL32" s="49" t="s">
        <v>53</v>
      </c>
      <c r="BM32" s="49" t="s">
        <v>53</v>
      </c>
      <c r="BN32" s="49" t="s">
        <v>53</v>
      </c>
      <c r="BO32" s="48">
        <f t="shared" si="2"/>
        <v>5</v>
      </c>
    </row>
    <row r="33" spans="1:67" ht="39" x14ac:dyDescent="0.3">
      <c r="A33" s="50" t="s">
        <v>130</v>
      </c>
      <c r="B33" s="50" t="s">
        <v>131</v>
      </c>
      <c r="C33" s="50" t="s">
        <v>311</v>
      </c>
      <c r="D33" s="50" t="s">
        <v>311</v>
      </c>
      <c r="E33" s="50">
        <v>10527</v>
      </c>
      <c r="F33" s="50">
        <v>38</v>
      </c>
      <c r="G33" s="50">
        <v>36</v>
      </c>
      <c r="H33" s="50">
        <v>151503</v>
      </c>
      <c r="I33" s="50">
        <v>41</v>
      </c>
      <c r="J33" s="50">
        <v>4</v>
      </c>
      <c r="K33" s="50">
        <v>281044</v>
      </c>
      <c r="L33" s="51">
        <v>670294800</v>
      </c>
      <c r="M33" s="51">
        <v>36610199</v>
      </c>
      <c r="N33" s="51">
        <v>137457417</v>
      </c>
      <c r="O33" s="51">
        <v>844362416</v>
      </c>
      <c r="P33" s="51">
        <v>7461480675</v>
      </c>
      <c r="Q33" s="52">
        <v>452131</v>
      </c>
      <c r="R33" s="22">
        <v>178129</v>
      </c>
      <c r="S33" s="51">
        <f t="shared" si="0"/>
        <v>16502.917683149353</v>
      </c>
      <c r="T33" s="53">
        <v>4.6500000000000004</v>
      </c>
      <c r="U33" s="158">
        <v>0.56259999999999999</v>
      </c>
      <c r="V33" s="158">
        <v>-0.17299999999999999</v>
      </c>
      <c r="W33" s="54">
        <f t="shared" si="1"/>
        <v>0.79384727138305033</v>
      </c>
      <c r="X33" s="55">
        <f>RawData[[#This Row],[Total State Aid]]/RawData[[#This Row],[Public high school graduates, 2022-23]]</f>
        <v>4740.173784167654</v>
      </c>
      <c r="Y33" s="56">
        <v>0.3387</v>
      </c>
      <c r="Z33" s="57">
        <v>0.23843991518378729</v>
      </c>
      <c r="AA33" s="48">
        <v>4.3</v>
      </c>
      <c r="AB33" s="56">
        <v>0.51500000000000001</v>
      </c>
      <c r="AC33" s="151">
        <v>2812</v>
      </c>
      <c r="AD33" s="149">
        <v>1.0226999999999999</v>
      </c>
      <c r="AE33" s="149">
        <v>0.42199999999999999</v>
      </c>
      <c r="AF33" s="150">
        <v>2.02</v>
      </c>
      <c r="AG33" s="23">
        <v>193350</v>
      </c>
      <c r="AH33" s="23">
        <v>143162</v>
      </c>
      <c r="AI33" s="23">
        <v>-50188</v>
      </c>
      <c r="AJ33" s="59">
        <v>-0.25957071781158447</v>
      </c>
      <c r="AK33" s="59">
        <v>-0.115</v>
      </c>
      <c r="AL33" s="23">
        <v>45938.000366210938</v>
      </c>
      <c r="AM33" s="23">
        <v>41246.666320800781</v>
      </c>
      <c r="AN33" s="23">
        <v>6154.0000133514404</v>
      </c>
      <c r="AO33" s="59">
        <v>0.2641531229019165</v>
      </c>
      <c r="AP33" s="59">
        <v>0.57778406143188477</v>
      </c>
      <c r="AQ33" s="59">
        <v>0.38668617606163025</v>
      </c>
      <c r="AR33" s="59">
        <v>0.64400000000000002</v>
      </c>
      <c r="AS33" s="59">
        <v>0.80100000000000005</v>
      </c>
      <c r="AT33" s="59">
        <v>0.53900000000000003</v>
      </c>
      <c r="AU33" s="161">
        <v>0</v>
      </c>
      <c r="AV33" s="161">
        <v>6737217464</v>
      </c>
      <c r="AW33" s="59">
        <v>0</v>
      </c>
      <c r="AX33" s="48" t="s">
        <v>64</v>
      </c>
      <c r="AY33" s="48" t="s">
        <v>60</v>
      </c>
      <c r="AZ33" s="48" t="s">
        <v>133</v>
      </c>
      <c r="BA33" s="48" t="s">
        <v>53</v>
      </c>
      <c r="BB33" s="48" t="s">
        <v>53</v>
      </c>
      <c r="BC33" s="48" t="s">
        <v>60</v>
      </c>
      <c r="BD33" s="48" t="s">
        <v>53</v>
      </c>
      <c r="BE33" s="48" t="s">
        <v>60</v>
      </c>
      <c r="BF33" s="48" t="s">
        <v>53</v>
      </c>
      <c r="BG33" s="48">
        <f>IF(OR(RawData[[#This Row],[Existing partner and/or SHEEO?]]="Existing Partner",RawData[[#This Row],[Existing partner and/or SHEEO?]]="SHEEO",RawData[[#This Row],[Existing partner and/or SHEEO?]]="Both"),2,0)+IF(ISBLANK(RawData[[#This Row],[Contact with CUNY ASAP Replication Team? (Through Spring 2025)]]),0,1)</f>
        <v>3</v>
      </c>
      <c r="BH33" s="49" t="s">
        <v>53</v>
      </c>
      <c r="BI33" s="23" t="s">
        <v>60</v>
      </c>
      <c r="BJ33" s="23" t="s">
        <v>60</v>
      </c>
      <c r="BK33" s="49" t="s">
        <v>53</v>
      </c>
      <c r="BL33" s="49" t="s">
        <v>53</v>
      </c>
      <c r="BM33" s="49" t="s">
        <v>53</v>
      </c>
      <c r="BN33" s="49" t="s">
        <v>53</v>
      </c>
      <c r="BO33" s="48">
        <f t="shared" si="2"/>
        <v>2</v>
      </c>
    </row>
    <row r="34" spans="1:67" x14ac:dyDescent="0.3">
      <c r="A34" s="50" t="s">
        <v>134</v>
      </c>
      <c r="B34" s="50" t="s">
        <v>135</v>
      </c>
      <c r="C34" s="50" t="s">
        <v>311</v>
      </c>
      <c r="D34" s="50" t="s">
        <v>307</v>
      </c>
      <c r="E34" s="50">
        <v>5475</v>
      </c>
      <c r="F34" s="50">
        <v>58</v>
      </c>
      <c r="G34" s="50">
        <v>23</v>
      </c>
      <c r="H34" s="50">
        <v>147755</v>
      </c>
      <c r="I34" s="50">
        <v>17</v>
      </c>
      <c r="J34" s="50">
        <v>0</v>
      </c>
      <c r="K34" s="50">
        <v>178200</v>
      </c>
      <c r="L34" s="51">
        <v>241842562</v>
      </c>
      <c r="M34" s="51">
        <v>5866043</v>
      </c>
      <c r="N34" s="51">
        <v>23762868</v>
      </c>
      <c r="O34" s="51">
        <v>271471473</v>
      </c>
      <c r="P34" s="51">
        <v>5523573961</v>
      </c>
      <c r="Q34" s="52">
        <v>396524</v>
      </c>
      <c r="R34" s="22">
        <v>106316</v>
      </c>
      <c r="S34" s="51">
        <f t="shared" ref="S34:S51" si="3">P34/Q34</f>
        <v>13929.986485055129</v>
      </c>
      <c r="T34" s="53">
        <v>8.82</v>
      </c>
      <c r="U34" s="158">
        <v>0.47010000000000002</v>
      </c>
      <c r="V34" s="158">
        <v>-0.17499999999999999</v>
      </c>
      <c r="W34" s="54">
        <f t="shared" si="1"/>
        <v>0.89085810500611973</v>
      </c>
      <c r="X34" s="55">
        <f>RawData[[#This Row],[Total State Aid]]/RawData[[#This Row],[Public high school graduates, 2022-23]]</f>
        <v>2553.4394917039767</v>
      </c>
      <c r="Y34" s="56">
        <v>0.30120000000000002</v>
      </c>
      <c r="Z34" s="57">
        <v>0.83295125956478289</v>
      </c>
      <c r="AA34" s="48">
        <v>3.6</v>
      </c>
      <c r="AB34" s="56">
        <v>0.46700000000000003</v>
      </c>
      <c r="AC34" s="151">
        <v>2247</v>
      </c>
      <c r="AD34" s="149">
        <v>0.85880000000000001</v>
      </c>
      <c r="AE34" s="149">
        <v>0.36199999999999999</v>
      </c>
      <c r="AF34" s="150">
        <v>15.71</v>
      </c>
      <c r="AG34" s="23">
        <v>160590</v>
      </c>
      <c r="AH34" s="23">
        <v>148506</v>
      </c>
      <c r="AI34" s="23">
        <v>-12084</v>
      </c>
      <c r="AJ34" s="59">
        <v>-7.5247526168823242E-2</v>
      </c>
      <c r="AK34" s="59">
        <v>-0.03</v>
      </c>
      <c r="AL34" s="23">
        <v>17511.000213623047</v>
      </c>
      <c r="AM34" s="23">
        <v>16409.333262443542</v>
      </c>
      <c r="AN34" s="23">
        <v>14437.333269119263</v>
      </c>
      <c r="AO34" s="59">
        <v>0.32946908473968506</v>
      </c>
      <c r="AP34" s="59">
        <v>0.60467618703842163</v>
      </c>
      <c r="AQ34" s="59">
        <v>0.44403398036956787</v>
      </c>
      <c r="AR34" s="59">
        <v>0.68600000000000005</v>
      </c>
      <c r="AS34" s="59">
        <v>0.83899999999999997</v>
      </c>
      <c r="AT34" s="59">
        <v>0.56000000000000005</v>
      </c>
      <c r="AU34" s="161">
        <v>56921356</v>
      </c>
      <c r="AV34" s="161">
        <v>4606086596</v>
      </c>
      <c r="AW34" s="59">
        <v>1.2E-2</v>
      </c>
      <c r="AX34" s="48" t="s">
        <v>136</v>
      </c>
      <c r="AY34" s="48" t="s">
        <v>60</v>
      </c>
      <c r="AZ34" s="48" t="s">
        <v>118</v>
      </c>
      <c r="BA34" s="48" t="s">
        <v>60</v>
      </c>
      <c r="BB34" s="48" t="s">
        <v>60</v>
      </c>
      <c r="BC34" s="48" t="s">
        <v>60</v>
      </c>
      <c r="BD34" s="48" t="s">
        <v>60</v>
      </c>
      <c r="BE34" s="48" t="s">
        <v>60</v>
      </c>
      <c r="BF34" s="48" t="s">
        <v>60</v>
      </c>
      <c r="BG34" s="48">
        <f>IF(OR(RawData[[#This Row],[Existing partner and/or SHEEO?]]="Existing Partner",RawData[[#This Row],[Existing partner and/or SHEEO?]]="SHEEO",RawData[[#This Row],[Existing partner and/or SHEEO?]]="Both"),2,0)+IF(ISBLANK(RawData[[#This Row],[Contact with CUNY ASAP Replication Team? (Through Spring 2025)]]),0,1)</f>
        <v>3</v>
      </c>
      <c r="BH34" s="49" t="s">
        <v>53</v>
      </c>
      <c r="BI34" s="49" t="s">
        <v>53</v>
      </c>
      <c r="BJ34" s="23" t="s">
        <v>60</v>
      </c>
      <c r="BK34" s="49" t="s">
        <v>53</v>
      </c>
      <c r="BL34" s="49" t="s">
        <v>53</v>
      </c>
      <c r="BM34" s="49" t="s">
        <v>53</v>
      </c>
      <c r="BN34" s="49" t="s">
        <v>53</v>
      </c>
      <c r="BO34" s="48">
        <f t="shared" ref="BO34:BO51" si="4">COUNTIF(BA34:BF34,"Yes")</f>
        <v>6</v>
      </c>
    </row>
    <row r="35" spans="1:67" x14ac:dyDescent="0.3">
      <c r="A35" s="50" t="s">
        <v>137</v>
      </c>
      <c r="B35" s="50" t="s">
        <v>138</v>
      </c>
      <c r="C35" s="50" t="s">
        <v>307</v>
      </c>
      <c r="D35" s="50" t="s">
        <v>307</v>
      </c>
      <c r="E35" s="50">
        <v>383</v>
      </c>
      <c r="F35" s="50">
        <v>6</v>
      </c>
      <c r="G35" s="50">
        <v>1</v>
      </c>
      <c r="H35" s="50">
        <v>6901</v>
      </c>
      <c r="I35" s="50">
        <v>8</v>
      </c>
      <c r="J35" s="50">
        <v>0</v>
      </c>
      <c r="K35" s="50">
        <v>23375</v>
      </c>
      <c r="L35" s="51">
        <v>12265665</v>
      </c>
      <c r="M35" s="51">
        <v>11321225</v>
      </c>
      <c r="N35" s="51">
        <v>808311</v>
      </c>
      <c r="O35" s="51">
        <v>24395201</v>
      </c>
      <c r="P35" s="51">
        <v>391393275</v>
      </c>
      <c r="Q35" s="52">
        <v>33421</v>
      </c>
      <c r="R35" s="22">
        <v>7101</v>
      </c>
      <c r="S35" s="51">
        <f t="shared" si="3"/>
        <v>11710.99832440681</v>
      </c>
      <c r="T35" s="53">
        <v>7.61</v>
      </c>
      <c r="U35" s="158">
        <v>9.1200000000000003E-2</v>
      </c>
      <c r="V35" s="158">
        <v>-0.27200000000000002</v>
      </c>
      <c r="W35" s="54">
        <f t="shared" si="1"/>
        <v>0.50279007744187065</v>
      </c>
      <c r="X35" s="55">
        <f>RawData[[#This Row],[Total State Aid]]/RawData[[#This Row],[Public high school graduates, 2022-23]]</f>
        <v>3435.4599352203913</v>
      </c>
      <c r="Y35" s="56">
        <v>0.25629999999999997</v>
      </c>
      <c r="Z35" s="57">
        <v>1.280935239574102</v>
      </c>
      <c r="AA35" s="48">
        <v>2.4</v>
      </c>
      <c r="AB35" s="56">
        <v>0.503</v>
      </c>
      <c r="AC35" s="151">
        <v>1962</v>
      </c>
      <c r="AD35" s="149">
        <v>0.48230000000000001</v>
      </c>
      <c r="AE35" s="149">
        <v>0.34300000000000003</v>
      </c>
      <c r="AF35" s="150">
        <v>14.18</v>
      </c>
      <c r="AG35" s="23">
        <v>7348</v>
      </c>
      <c r="AH35" s="23">
        <v>6932</v>
      </c>
      <c r="AI35" s="23">
        <v>-416</v>
      </c>
      <c r="AJ35" s="59">
        <v>-5.6614045053720474E-2</v>
      </c>
      <c r="AK35" s="59">
        <v>-0.115</v>
      </c>
      <c r="AL35" s="23">
        <v>2005.6666355133057</v>
      </c>
      <c r="AM35" s="23">
        <v>1197.0000095367432</v>
      </c>
      <c r="AN35" s="23">
        <v>133.99999618530273</v>
      </c>
      <c r="AO35" s="59">
        <v>0.45604121685028076</v>
      </c>
      <c r="AP35" s="59">
        <v>0.63909775018692017</v>
      </c>
      <c r="AQ35" s="59">
        <v>0.35323384404182434</v>
      </c>
      <c r="AR35" s="59">
        <v>0.60299999999999998</v>
      </c>
      <c r="AS35" s="59">
        <v>0.76100000000000001</v>
      </c>
      <c r="AT35" s="59">
        <v>0.46100000000000002</v>
      </c>
      <c r="AU35" s="161">
        <v>293265524</v>
      </c>
      <c r="AV35" s="161">
        <v>336710648</v>
      </c>
      <c r="AW35" s="59">
        <v>0.871</v>
      </c>
      <c r="AX35" s="48" t="s">
        <v>52</v>
      </c>
      <c r="AY35" s="48" t="s">
        <v>53</v>
      </c>
      <c r="AZ35" s="48"/>
      <c r="BA35" s="48" t="s">
        <v>60</v>
      </c>
      <c r="BB35" s="48" t="s">
        <v>60</v>
      </c>
      <c r="BC35" s="48" t="s">
        <v>53</v>
      </c>
      <c r="BD35" s="48" t="s">
        <v>60</v>
      </c>
      <c r="BE35" s="48" t="s">
        <v>60</v>
      </c>
      <c r="BF35" s="48" t="s">
        <v>53</v>
      </c>
      <c r="BG35" s="48">
        <f>IF(OR(RawData[[#This Row],[Existing partner and/or SHEEO?]]="Existing Partner",RawData[[#This Row],[Existing partner and/or SHEEO?]]="SHEEO",RawData[[#This Row],[Existing partner and/or SHEEO?]]="Both"),2,0)+IF(ISBLANK(RawData[[#This Row],[Contact with CUNY ASAP Replication Team? (Through Spring 2025)]]),0,1)</f>
        <v>1</v>
      </c>
      <c r="BH35" s="49" t="s">
        <v>53</v>
      </c>
      <c r="BI35" s="49" t="s">
        <v>53</v>
      </c>
      <c r="BK35" s="49" t="s">
        <v>53</v>
      </c>
      <c r="BL35" s="49" t="s">
        <v>53</v>
      </c>
      <c r="BM35" s="49" t="s">
        <v>53</v>
      </c>
      <c r="BN35" s="49" t="s">
        <v>53</v>
      </c>
      <c r="BO35" s="48">
        <f t="shared" si="4"/>
        <v>4</v>
      </c>
    </row>
    <row r="36" spans="1:67" ht="26" x14ac:dyDescent="0.3">
      <c r="A36" s="50" t="s">
        <v>139</v>
      </c>
      <c r="B36" s="50" t="s">
        <v>140</v>
      </c>
      <c r="C36" s="50" t="s">
        <v>307</v>
      </c>
      <c r="D36" s="50" t="s">
        <v>307</v>
      </c>
      <c r="E36" s="50">
        <v>6021</v>
      </c>
      <c r="F36" s="50">
        <v>42</v>
      </c>
      <c r="G36" s="50">
        <v>30</v>
      </c>
      <c r="H36" s="50">
        <v>134464</v>
      </c>
      <c r="I36" s="50">
        <v>17</v>
      </c>
      <c r="J36" s="50">
        <v>4</v>
      </c>
      <c r="K36" s="50">
        <v>195804</v>
      </c>
      <c r="L36" s="51">
        <v>113211719</v>
      </c>
      <c r="M36" s="51">
        <v>51269927</v>
      </c>
      <c r="N36" s="51">
        <v>4270019</v>
      </c>
      <c r="O36" s="51">
        <v>168751665</v>
      </c>
      <c r="P36" s="51">
        <v>2676189876</v>
      </c>
      <c r="Q36" s="52">
        <v>355822</v>
      </c>
      <c r="R36" s="22">
        <v>120007</v>
      </c>
      <c r="S36" s="51">
        <f t="shared" si="3"/>
        <v>7521.1478660678658</v>
      </c>
      <c r="T36" s="53">
        <v>4.01</v>
      </c>
      <c r="U36" s="158">
        <v>0.35099999999999998</v>
      </c>
      <c r="V36" s="158">
        <v>-0.18</v>
      </c>
      <c r="W36" s="54">
        <f t="shared" si="1"/>
        <v>0.67087764141467876</v>
      </c>
      <c r="X36" s="55">
        <f>RawData[[#This Row],[Total State Aid]]/RawData[[#This Row],[Public high school graduates, 2022-23]]</f>
        <v>1406.1818477255492</v>
      </c>
      <c r="Y36" s="56">
        <v>0.28570000000000001</v>
      </c>
      <c r="Z36" s="57">
        <v>0.86367676166391316</v>
      </c>
      <c r="AA36" s="48">
        <v>4.3</v>
      </c>
      <c r="AB36" s="56">
        <v>0.42599999999999999</v>
      </c>
      <c r="AC36" s="151">
        <v>1485</v>
      </c>
      <c r="AD36" s="149">
        <v>0.76870000000000005</v>
      </c>
      <c r="AE36" s="149">
        <v>0.33</v>
      </c>
      <c r="AF36" s="150">
        <v>13.85</v>
      </c>
      <c r="AG36" s="23">
        <v>133511</v>
      </c>
      <c r="AH36" s="23">
        <v>122462</v>
      </c>
      <c r="AI36" s="23">
        <v>-11049</v>
      </c>
      <c r="AJ36" s="59">
        <v>-8.2757227122783661E-2</v>
      </c>
      <c r="AK36" s="59">
        <v>-0.11</v>
      </c>
      <c r="AL36" s="23">
        <v>19724.833366394043</v>
      </c>
      <c r="AM36" s="23">
        <v>13453.166600823402</v>
      </c>
      <c r="AN36" s="23">
        <v>10666.166794300079</v>
      </c>
      <c r="AO36" s="59">
        <v>0.2545606791973114</v>
      </c>
      <c r="AP36" s="59">
        <v>0.52933013439178467</v>
      </c>
      <c r="AQ36" s="59">
        <v>0.43372344970703125</v>
      </c>
      <c r="AR36" s="59">
        <v>0.65700000000000003</v>
      </c>
      <c r="AS36" s="59">
        <v>0.81599999999999995</v>
      </c>
      <c r="AT36" s="59">
        <v>0.437</v>
      </c>
      <c r="AU36" s="161">
        <v>1964108454</v>
      </c>
      <c r="AV36" s="161">
        <v>2293765202</v>
      </c>
      <c r="AW36" s="59">
        <v>0.85599999999999998</v>
      </c>
      <c r="AX36" s="48" t="s">
        <v>64</v>
      </c>
      <c r="AY36" s="48" t="s">
        <v>60</v>
      </c>
      <c r="AZ36" s="48" t="s">
        <v>141</v>
      </c>
      <c r="BA36" s="48" t="s">
        <v>60</v>
      </c>
      <c r="BB36" s="48" t="s">
        <v>60</v>
      </c>
      <c r="BC36" s="48" t="s">
        <v>53</v>
      </c>
      <c r="BD36" s="48" t="s">
        <v>60</v>
      </c>
      <c r="BE36" s="48" t="s">
        <v>60</v>
      </c>
      <c r="BF36" s="48" t="s">
        <v>60</v>
      </c>
      <c r="BG36" s="48">
        <f>IF(OR(RawData[[#This Row],[Existing partner and/or SHEEO?]]="Existing Partner",RawData[[#This Row],[Existing partner and/or SHEEO?]]="SHEEO",RawData[[#This Row],[Existing partner and/or SHEEO?]]="Both"),2,0)+IF(ISBLANK(RawData[[#This Row],[Contact with CUNY ASAP Replication Team? (Through Spring 2025)]]),0,1)</f>
        <v>3</v>
      </c>
      <c r="BH36" s="23" t="s">
        <v>60</v>
      </c>
      <c r="BI36" s="49" t="s">
        <v>53</v>
      </c>
      <c r="BJ36" s="23" t="s">
        <v>60</v>
      </c>
      <c r="BK36" s="23" t="s">
        <v>60</v>
      </c>
      <c r="BL36" s="49" t="s">
        <v>53</v>
      </c>
      <c r="BM36" s="49" t="s">
        <v>53</v>
      </c>
      <c r="BN36" s="49" t="s">
        <v>53</v>
      </c>
      <c r="BO36" s="48">
        <f t="shared" si="4"/>
        <v>5</v>
      </c>
    </row>
    <row r="37" spans="1:67" x14ac:dyDescent="0.3">
      <c r="A37" s="50" t="s">
        <v>142</v>
      </c>
      <c r="B37" s="50" t="s">
        <v>143</v>
      </c>
      <c r="C37" s="50" t="s">
        <v>307</v>
      </c>
      <c r="D37" s="50" t="s">
        <v>307</v>
      </c>
      <c r="E37" s="50">
        <v>2000</v>
      </c>
      <c r="F37" s="50">
        <v>15</v>
      </c>
      <c r="G37" s="50">
        <v>10</v>
      </c>
      <c r="H37" s="50">
        <v>36048</v>
      </c>
      <c r="I37" s="50">
        <v>14</v>
      </c>
      <c r="J37" s="50">
        <v>7</v>
      </c>
      <c r="K37" s="50">
        <v>71869</v>
      </c>
      <c r="L37" s="51">
        <v>81518031</v>
      </c>
      <c r="M37" s="51">
        <v>17403389</v>
      </c>
      <c r="N37" s="51">
        <v>20070933</v>
      </c>
      <c r="O37" s="51">
        <v>118992353</v>
      </c>
      <c r="P37" s="51">
        <v>1051743064</v>
      </c>
      <c r="Q37" s="52">
        <v>126579</v>
      </c>
      <c r="R37" s="22">
        <v>43941</v>
      </c>
      <c r="S37" s="51">
        <f t="shared" si="3"/>
        <v>8308.9854083220762</v>
      </c>
      <c r="T37" s="53">
        <v>4.58</v>
      </c>
      <c r="U37" s="158">
        <v>0.14419999999999999</v>
      </c>
      <c r="V37" s="158">
        <v>-0.36899999999999999</v>
      </c>
      <c r="W37" s="54">
        <f t="shared" si="1"/>
        <v>0.6850694934993008</v>
      </c>
      <c r="X37" s="55">
        <f>RawData[[#This Row],[Total State Aid]]/RawData[[#This Row],[Public high school graduates, 2022-23]]</f>
        <v>2708.0028447236068</v>
      </c>
      <c r="Y37" s="56">
        <v>0.33650000000000002</v>
      </c>
      <c r="Z37" s="57">
        <v>0.85515350005325952</v>
      </c>
      <c r="AA37" s="48">
        <v>3.3</v>
      </c>
      <c r="AB37" s="56">
        <v>0.36599999999999999</v>
      </c>
      <c r="AC37" s="151">
        <v>2567</v>
      </c>
      <c r="AD37" s="149">
        <v>0.66359999999999997</v>
      </c>
      <c r="AE37" s="149">
        <v>0.28000000000000003</v>
      </c>
      <c r="AF37" s="150">
        <v>12.7</v>
      </c>
      <c r="AG37" s="23">
        <v>40026</v>
      </c>
      <c r="AH37" s="23">
        <v>34807</v>
      </c>
      <c r="AI37" s="23">
        <v>-5219</v>
      </c>
      <c r="AJ37" s="59">
        <v>-0.13039024174213409</v>
      </c>
      <c r="AK37" s="59">
        <v>-7.4999999999999997E-2</v>
      </c>
      <c r="AL37" s="23">
        <v>8437.9999580383301</v>
      </c>
      <c r="AM37" s="23">
        <v>7029.333309173584</v>
      </c>
      <c r="AN37" s="23">
        <v>3811.6666202545166</v>
      </c>
      <c r="AO37" s="59">
        <v>0.27348503470420837</v>
      </c>
      <c r="AP37" s="59">
        <v>0.57473444938659668</v>
      </c>
      <c r="AQ37" s="59">
        <v>0.37052908539772034</v>
      </c>
      <c r="AR37" s="59">
        <v>0.54200000000000004</v>
      </c>
      <c r="AS37" s="59">
        <v>0.76300000000000001</v>
      </c>
      <c r="AT37" s="59">
        <v>0.66</v>
      </c>
      <c r="AU37" s="161">
        <v>29000000</v>
      </c>
      <c r="AV37" s="161">
        <v>915453592</v>
      </c>
      <c r="AW37" s="59">
        <v>3.2000000000000001E-2</v>
      </c>
      <c r="AX37" s="48" t="s">
        <v>52</v>
      </c>
      <c r="AY37" s="48"/>
      <c r="AZ37" s="48"/>
      <c r="BA37" s="48" t="s">
        <v>60</v>
      </c>
      <c r="BB37" s="48" t="s">
        <v>60</v>
      </c>
      <c r="BC37" s="48" t="s">
        <v>60</v>
      </c>
      <c r="BD37" s="48" t="s">
        <v>53</v>
      </c>
      <c r="BE37" s="48" t="s">
        <v>60</v>
      </c>
      <c r="BF37" s="48" t="s">
        <v>60</v>
      </c>
      <c r="BG37" s="48">
        <f>IF(OR(RawData[[#This Row],[Existing partner and/or SHEEO?]]="Existing Partner",RawData[[#This Row],[Existing partner and/or SHEEO?]]="SHEEO",RawData[[#This Row],[Existing partner and/or SHEEO?]]="Both"),2,0)+IF(ISBLANK(RawData[[#This Row],[Contact with CUNY ASAP Replication Team? (Through Spring 2025)]]),0,1)</f>
        <v>0</v>
      </c>
      <c r="BH37" s="49" t="s">
        <v>53</v>
      </c>
      <c r="BI37" s="23" t="s">
        <v>60</v>
      </c>
      <c r="BJ37" s="49" t="s">
        <v>53</v>
      </c>
      <c r="BK37" s="49" t="s">
        <v>53</v>
      </c>
      <c r="BL37" s="49" t="s">
        <v>53</v>
      </c>
      <c r="BM37" s="49" t="s">
        <v>53</v>
      </c>
      <c r="BN37" s="49" t="s">
        <v>53</v>
      </c>
      <c r="BO37" s="48">
        <f t="shared" si="4"/>
        <v>5</v>
      </c>
    </row>
    <row r="38" spans="1:67" x14ac:dyDescent="0.3">
      <c r="A38" s="50" t="s">
        <v>144</v>
      </c>
      <c r="B38" s="50" t="s">
        <v>145</v>
      </c>
      <c r="C38" s="50" t="s">
        <v>311</v>
      </c>
      <c r="D38" s="50" t="s">
        <v>311</v>
      </c>
      <c r="E38" s="50">
        <v>2231</v>
      </c>
      <c r="F38" s="50">
        <v>17</v>
      </c>
      <c r="G38" s="50">
        <v>16</v>
      </c>
      <c r="H38" s="50">
        <v>44384</v>
      </c>
      <c r="I38" s="50">
        <v>9</v>
      </c>
      <c r="J38" s="50">
        <v>0</v>
      </c>
      <c r="K38" s="50">
        <v>66864</v>
      </c>
      <c r="L38" s="51">
        <v>121564769</v>
      </c>
      <c r="M38" s="51">
        <v>10271460</v>
      </c>
      <c r="N38" s="51">
        <v>125683658</v>
      </c>
      <c r="O38" s="51">
        <v>257519887</v>
      </c>
      <c r="P38" s="51">
        <v>1375461916</v>
      </c>
      <c r="Q38" s="52">
        <v>124645</v>
      </c>
      <c r="R38" s="22">
        <v>39149</v>
      </c>
      <c r="S38" s="51">
        <f t="shared" si="3"/>
        <v>11035.034826908421</v>
      </c>
      <c r="T38" s="53">
        <v>5.13</v>
      </c>
      <c r="U38" s="158">
        <v>1.0676000000000001</v>
      </c>
      <c r="V38" s="158">
        <v>-2.9000000000000001E-2</v>
      </c>
      <c r="W38" s="54">
        <f t="shared" si="1"/>
        <v>0.47205973261397088</v>
      </c>
      <c r="X38" s="55">
        <f>RawData[[#This Row],[Total State Aid]]/RawData[[#This Row],[Public high school graduates, 2022-23]]</f>
        <v>6577.9429104191677</v>
      </c>
      <c r="Y38" s="56">
        <v>0.29949999999999999</v>
      </c>
      <c r="Z38" s="57">
        <v>0.79353871191182312</v>
      </c>
      <c r="AA38" s="48">
        <v>4.2</v>
      </c>
      <c r="AB38" s="56">
        <v>0.46400000000000002</v>
      </c>
      <c r="AC38" s="151">
        <v>2495</v>
      </c>
      <c r="AD38" s="149">
        <v>0.78059999999999996</v>
      </c>
      <c r="AE38" s="149">
        <v>0.37</v>
      </c>
      <c r="AF38" s="150">
        <v>15.15</v>
      </c>
      <c r="AG38" s="23">
        <v>57883</v>
      </c>
      <c r="AH38" s="23">
        <v>43778</v>
      </c>
      <c r="AI38" s="23">
        <v>-14105</v>
      </c>
      <c r="AJ38" s="59">
        <v>-0.24368122220039368</v>
      </c>
      <c r="AK38" s="59">
        <v>-6.9000000000000006E-2</v>
      </c>
      <c r="AL38" s="23">
        <v>9554.6667518615723</v>
      </c>
      <c r="AM38" s="23">
        <v>8610.6667289733887</v>
      </c>
      <c r="AN38" s="23">
        <v>6004.3333225250244</v>
      </c>
      <c r="AO38" s="59">
        <v>0.21706670522689819</v>
      </c>
      <c r="AP38" s="59">
        <v>0.55400276184082031</v>
      </c>
      <c r="AQ38" s="59">
        <v>0.37489590048789978</v>
      </c>
      <c r="AR38" s="59">
        <v>0.63800000000000001</v>
      </c>
      <c r="AS38" s="59">
        <v>0.81299999999999994</v>
      </c>
      <c r="AT38" s="59">
        <v>0.61299999999999999</v>
      </c>
      <c r="AU38" s="161">
        <v>246355261</v>
      </c>
      <c r="AV38" s="161">
        <v>1069767410</v>
      </c>
      <c r="AW38" s="59">
        <v>0.23</v>
      </c>
      <c r="AX38" s="48" t="s">
        <v>52</v>
      </c>
      <c r="AY38" s="48" t="s">
        <v>60</v>
      </c>
      <c r="AZ38" s="48" t="s">
        <v>80</v>
      </c>
      <c r="BA38" s="48" t="s">
        <v>53</v>
      </c>
      <c r="BB38" s="48" t="s">
        <v>60</v>
      </c>
      <c r="BC38" s="48" t="s">
        <v>60</v>
      </c>
      <c r="BD38" s="48" t="s">
        <v>60</v>
      </c>
      <c r="BE38" s="48" t="s">
        <v>53</v>
      </c>
      <c r="BF38" s="48" t="s">
        <v>60</v>
      </c>
      <c r="BG38" s="48">
        <f>IF(OR(RawData[[#This Row],[Existing partner and/or SHEEO?]]="Existing Partner",RawData[[#This Row],[Existing partner and/or SHEEO?]]="SHEEO",RawData[[#This Row],[Existing partner and/or SHEEO?]]="Both"),2,0)+IF(ISBLANK(RawData[[#This Row],[Contact with CUNY ASAP Replication Team? (Through Spring 2025)]]),0,1)</f>
        <v>1</v>
      </c>
      <c r="BH38" s="23" t="s">
        <v>60</v>
      </c>
      <c r="BI38" s="49" t="s">
        <v>53</v>
      </c>
      <c r="BJ38" s="49" t="s">
        <v>53</v>
      </c>
      <c r="BK38" s="49" t="s">
        <v>53</v>
      </c>
      <c r="BL38" s="49" t="s">
        <v>53</v>
      </c>
      <c r="BM38" s="49" t="s">
        <v>53</v>
      </c>
      <c r="BN38" s="49" t="s">
        <v>53</v>
      </c>
      <c r="BO38" s="48">
        <f t="shared" si="4"/>
        <v>4</v>
      </c>
    </row>
    <row r="39" spans="1:67" ht="26" x14ac:dyDescent="0.3">
      <c r="A39" s="50" t="s">
        <v>146</v>
      </c>
      <c r="B39" s="50" t="s">
        <v>147</v>
      </c>
      <c r="C39" s="50" t="s">
        <v>311</v>
      </c>
      <c r="D39" s="50" t="s">
        <v>324</v>
      </c>
      <c r="E39" s="50">
        <v>6679</v>
      </c>
      <c r="F39" s="50">
        <v>20</v>
      </c>
      <c r="G39" s="50">
        <v>14</v>
      </c>
      <c r="H39" s="50">
        <v>67837</v>
      </c>
      <c r="I39" s="50">
        <v>37</v>
      </c>
      <c r="J39" s="50">
        <v>20</v>
      </c>
      <c r="K39" s="50">
        <v>192977</v>
      </c>
      <c r="L39" s="51">
        <v>390832918</v>
      </c>
      <c r="M39" s="51">
        <v>5954842</v>
      </c>
      <c r="N39" s="51">
        <v>48067762</v>
      </c>
      <c r="O39" s="51">
        <v>444855522</v>
      </c>
      <c r="P39" s="51">
        <v>2197943952</v>
      </c>
      <c r="Q39" s="52">
        <v>293801</v>
      </c>
      <c r="R39" s="22">
        <v>125585</v>
      </c>
      <c r="S39" s="51">
        <f t="shared" si="3"/>
        <v>7481.0635498177335</v>
      </c>
      <c r="T39" s="53">
        <v>2.41</v>
      </c>
      <c r="U39" s="158">
        <v>0.53690000000000004</v>
      </c>
      <c r="V39" s="158">
        <v>-0.223</v>
      </c>
      <c r="W39" s="54">
        <f t="shared" si="1"/>
        <v>0.87856146247859768</v>
      </c>
      <c r="X39" s="55">
        <f>RawData[[#This Row],[Total State Aid]]/RawData[[#This Row],[Public high school graduates, 2022-23]]</f>
        <v>3542.2663693912491</v>
      </c>
      <c r="Y39" s="56">
        <v>0.3</v>
      </c>
      <c r="Z39" s="57">
        <v>1.0076658969177252</v>
      </c>
      <c r="AA39" s="48">
        <v>3.6</v>
      </c>
      <c r="AB39" s="56">
        <v>0.46899999999999997</v>
      </c>
      <c r="AC39" s="151">
        <v>3355</v>
      </c>
      <c r="AD39" s="149">
        <v>0.77980000000000005</v>
      </c>
      <c r="AE39" s="149">
        <v>0.372</v>
      </c>
      <c r="AF39" s="150">
        <v>12.75</v>
      </c>
      <c r="AG39" s="23">
        <v>84706</v>
      </c>
      <c r="AH39" s="23">
        <v>64882</v>
      </c>
      <c r="AI39" s="23">
        <v>-19824</v>
      </c>
      <c r="AJ39" s="59">
        <v>-0.23403300344944</v>
      </c>
      <c r="AK39" s="59">
        <v>-0.09</v>
      </c>
      <c r="AL39" s="23">
        <v>12971.666732788086</v>
      </c>
      <c r="AM39" s="23">
        <v>11676.833304405212</v>
      </c>
      <c r="AN39" s="23">
        <v>9051.5000605583191</v>
      </c>
      <c r="AO39" s="59">
        <v>0.25477322936058044</v>
      </c>
      <c r="AP39" s="59">
        <v>0.60891222953796387</v>
      </c>
      <c r="AQ39" s="59">
        <v>0.42007771134376526</v>
      </c>
      <c r="AR39" s="59">
        <v>0.60699999999999998</v>
      </c>
      <c r="AS39" s="59">
        <v>0.82099999999999995</v>
      </c>
      <c r="AT39" s="59">
        <v>0.49199999999999999</v>
      </c>
      <c r="AU39" s="161">
        <v>0</v>
      </c>
      <c r="AV39" s="161">
        <v>1738585157</v>
      </c>
      <c r="AW39" s="59">
        <v>0</v>
      </c>
      <c r="AX39" s="48" t="s">
        <v>64</v>
      </c>
      <c r="AY39" s="48" t="s">
        <v>53</v>
      </c>
      <c r="AZ39" s="48"/>
      <c r="BA39" s="48" t="s">
        <v>53</v>
      </c>
      <c r="BB39" s="48" t="s">
        <v>53</v>
      </c>
      <c r="BC39" s="48" t="s">
        <v>53</v>
      </c>
      <c r="BD39" s="48" t="s">
        <v>60</v>
      </c>
      <c r="BE39" s="48" t="s">
        <v>60</v>
      </c>
      <c r="BF39" s="48" t="s">
        <v>60</v>
      </c>
      <c r="BG39" s="48">
        <f>IF(OR(RawData[[#This Row],[Existing partner and/or SHEEO?]]="Existing Partner",RawData[[#This Row],[Existing partner and/or SHEEO?]]="SHEEO",RawData[[#This Row],[Existing partner and/or SHEEO?]]="Both"),2,0)+IF(ISBLANK(RawData[[#This Row],[Contact with CUNY ASAP Replication Team? (Through Spring 2025)]]),0,1)</f>
        <v>3</v>
      </c>
      <c r="BH39" s="49" t="s">
        <v>53</v>
      </c>
      <c r="BI39" s="23" t="s">
        <v>60</v>
      </c>
      <c r="BJ39" s="49" t="s">
        <v>53</v>
      </c>
      <c r="BK39" s="49" t="s">
        <v>53</v>
      </c>
      <c r="BL39" s="49" t="s">
        <v>53</v>
      </c>
      <c r="BM39" s="49" t="s">
        <v>53</v>
      </c>
      <c r="BN39" s="49" t="s">
        <v>53</v>
      </c>
      <c r="BO39" s="48">
        <f t="shared" si="4"/>
        <v>3</v>
      </c>
    </row>
    <row r="40" spans="1:67" x14ac:dyDescent="0.3">
      <c r="A40" s="50" t="s">
        <v>148</v>
      </c>
      <c r="B40" s="50" t="s">
        <v>149</v>
      </c>
      <c r="C40" s="50" t="s">
        <v>311</v>
      </c>
      <c r="D40" s="50" t="s">
        <v>311</v>
      </c>
      <c r="E40" s="50">
        <v>576</v>
      </c>
      <c r="F40" s="50">
        <v>1</v>
      </c>
      <c r="G40" s="50">
        <v>1</v>
      </c>
      <c r="H40" s="50">
        <v>8381</v>
      </c>
      <c r="I40" s="50">
        <v>2</v>
      </c>
      <c r="J40" s="50">
        <v>0</v>
      </c>
      <c r="K40" s="50">
        <v>18623</v>
      </c>
      <c r="L40" s="51">
        <v>9438481</v>
      </c>
      <c r="M40" s="51"/>
      <c r="N40" s="51"/>
      <c r="O40" s="51">
        <v>9438481</v>
      </c>
      <c r="P40" s="51">
        <v>229117084</v>
      </c>
      <c r="Q40" s="52">
        <v>28491</v>
      </c>
      <c r="R40" s="22">
        <v>9638</v>
      </c>
      <c r="S40" s="51">
        <f t="shared" si="3"/>
        <v>8041.7354252220002</v>
      </c>
      <c r="T40" s="53">
        <v>3.21</v>
      </c>
      <c r="U40" s="158">
        <v>0.57320000000000004</v>
      </c>
      <c r="V40" s="158">
        <v>-7.0000000000000007E-2</v>
      </c>
      <c r="W40" s="54">
        <f t="shared" si="1"/>
        <v>1</v>
      </c>
      <c r="X40" s="55">
        <f>RawData[[#This Row],[Total State Aid]]/RawData[[#This Row],[Public high school graduates, 2022-23]]</f>
        <v>979.298713426022</v>
      </c>
      <c r="Y40" s="56">
        <v>0.31430000000000002</v>
      </c>
      <c r="Z40" s="57">
        <v>0.90212467710008548</v>
      </c>
      <c r="AA40" s="48">
        <v>4.3</v>
      </c>
      <c r="AB40" s="56">
        <v>0.47199999999999998</v>
      </c>
      <c r="AC40" s="151">
        <v>1992</v>
      </c>
      <c r="AD40" s="149">
        <v>0.69699999999999995</v>
      </c>
      <c r="AE40" s="149">
        <v>0.38900000000000001</v>
      </c>
      <c r="AF40" s="150">
        <v>11.27</v>
      </c>
      <c r="AG40" s="23">
        <v>9333</v>
      </c>
      <c r="AH40" s="23">
        <v>8195</v>
      </c>
      <c r="AI40" s="23">
        <v>-1138</v>
      </c>
      <c r="AJ40" s="59">
        <v>-0.12193292379379272</v>
      </c>
      <c r="AK40" s="59">
        <v>-5.6000000000000001E-2</v>
      </c>
      <c r="AL40" s="23">
        <v>2641</v>
      </c>
      <c r="AM40" s="23">
        <v>2482.333251953125</v>
      </c>
      <c r="AN40" s="23">
        <v>805.33331298828125</v>
      </c>
      <c r="AO40" s="59">
        <v>0.24851696193218231</v>
      </c>
      <c r="AP40" s="59">
        <v>0.56237411499023438</v>
      </c>
      <c r="AQ40" s="59">
        <v>0.36672186851501465</v>
      </c>
      <c r="AR40" s="59">
        <v>0.63800000000000001</v>
      </c>
      <c r="AS40" s="59">
        <v>0.82899999999999996</v>
      </c>
      <c r="AT40" s="59">
        <v>0.5</v>
      </c>
      <c r="AU40" s="161">
        <v>0</v>
      </c>
      <c r="AV40" s="161">
        <v>244873113</v>
      </c>
      <c r="AW40" s="59">
        <v>0</v>
      </c>
      <c r="AX40" s="48" t="s">
        <v>52</v>
      </c>
      <c r="AY40" s="48" t="s">
        <v>53</v>
      </c>
      <c r="AZ40" s="48"/>
      <c r="BA40" s="48" t="s">
        <v>53</v>
      </c>
      <c r="BB40" s="48" t="s">
        <v>53</v>
      </c>
      <c r="BC40" s="48" t="s">
        <v>60</v>
      </c>
      <c r="BD40" s="48" t="s">
        <v>60</v>
      </c>
      <c r="BE40" s="48" t="s">
        <v>53</v>
      </c>
      <c r="BF40" s="48" t="s">
        <v>60</v>
      </c>
      <c r="BG40" s="48">
        <f>IF(OR(RawData[[#This Row],[Existing partner and/or SHEEO?]]="Existing Partner",RawData[[#This Row],[Existing partner and/or SHEEO?]]="SHEEO",RawData[[#This Row],[Existing partner and/or SHEEO?]]="Both"),2,0)+IF(ISBLANK(RawData[[#This Row],[Contact with CUNY ASAP Replication Team? (Through Spring 2025)]]),0,1)</f>
        <v>1</v>
      </c>
      <c r="BH40" s="49" t="s">
        <v>53</v>
      </c>
      <c r="BI40" s="49" t="s">
        <v>53</v>
      </c>
      <c r="BJ40" s="49" t="s">
        <v>53</v>
      </c>
      <c r="BK40" s="49" t="s">
        <v>53</v>
      </c>
      <c r="BL40" s="49" t="s">
        <v>53</v>
      </c>
      <c r="BM40" s="49" t="s">
        <v>53</v>
      </c>
      <c r="BN40" s="49" t="s">
        <v>53</v>
      </c>
      <c r="BO40" s="48">
        <f t="shared" si="4"/>
        <v>3</v>
      </c>
    </row>
    <row r="41" spans="1:67" ht="26" x14ac:dyDescent="0.3">
      <c r="A41" s="50" t="s">
        <v>150</v>
      </c>
      <c r="B41" s="50" t="s">
        <v>151</v>
      </c>
      <c r="C41" s="50" t="s">
        <v>307</v>
      </c>
      <c r="D41" s="50" t="s">
        <v>307</v>
      </c>
      <c r="E41" s="50">
        <v>2649</v>
      </c>
      <c r="F41" s="50">
        <v>20</v>
      </c>
      <c r="G41" s="50">
        <v>18</v>
      </c>
      <c r="H41" s="50">
        <v>55749</v>
      </c>
      <c r="I41" s="50">
        <v>13</v>
      </c>
      <c r="J41" s="50">
        <v>1</v>
      </c>
      <c r="K41" s="50">
        <v>93221</v>
      </c>
      <c r="L41" s="51">
        <v>130405086</v>
      </c>
      <c r="M41" s="51">
        <v>350255011</v>
      </c>
      <c r="N41" s="51">
        <v>4043331</v>
      </c>
      <c r="O41" s="51">
        <v>484703428</v>
      </c>
      <c r="P41" s="51">
        <v>1590891995</v>
      </c>
      <c r="Q41" s="52">
        <v>173961</v>
      </c>
      <c r="R41" s="22">
        <v>50247</v>
      </c>
      <c r="S41" s="51">
        <f t="shared" si="3"/>
        <v>9145.1072079374117</v>
      </c>
      <c r="T41" s="53">
        <v>5.34</v>
      </c>
      <c r="U41" s="158">
        <v>0.67230000000000001</v>
      </c>
      <c r="V41" s="158">
        <v>-7.0999999999999994E-2</v>
      </c>
      <c r="W41" s="54">
        <v>0.27</v>
      </c>
      <c r="X41" s="55">
        <f>RawData[[#This Row],[Total State Aid]]/RawData[[#This Row],[Public high school graduates, 2022-23]]</f>
        <v>9646.4152685732479</v>
      </c>
      <c r="Y41" s="56">
        <v>0.3301</v>
      </c>
      <c r="Z41" s="57">
        <v>1.0909373681154868</v>
      </c>
      <c r="AA41" s="48">
        <v>4.0999999999999996</v>
      </c>
      <c r="AB41" s="56">
        <v>0.42799999999999999</v>
      </c>
      <c r="AC41" s="151">
        <v>1839</v>
      </c>
      <c r="AD41" s="149">
        <v>0.72529999999999994</v>
      </c>
      <c r="AE41" s="149">
        <v>0.32400000000000001</v>
      </c>
      <c r="AF41" s="150">
        <v>12.39</v>
      </c>
      <c r="AG41" s="23">
        <v>57574</v>
      </c>
      <c r="AH41" s="23">
        <v>58336</v>
      </c>
      <c r="AI41" s="23">
        <v>762</v>
      </c>
      <c r="AJ41" s="59">
        <v>1.3235140591859818E-2</v>
      </c>
      <c r="AK41" s="59">
        <v>1.2E-2</v>
      </c>
      <c r="AL41" s="23">
        <v>11990.333549499512</v>
      </c>
      <c r="AM41" s="23">
        <v>9825.3333587646484</v>
      </c>
      <c r="AN41" s="23">
        <v>3582.0000550746918</v>
      </c>
      <c r="AO41" s="59">
        <v>0.24956214427947998</v>
      </c>
      <c r="AP41" s="59">
        <v>0.5145881175994873</v>
      </c>
      <c r="AQ41" s="59">
        <v>0.34496554732322693</v>
      </c>
      <c r="AR41" s="59">
        <v>0.66100000000000003</v>
      </c>
      <c r="AS41" s="59">
        <v>0.81599999999999995</v>
      </c>
      <c r="AT41" s="59">
        <v>0.247</v>
      </c>
      <c r="AU41" s="161">
        <v>7000000</v>
      </c>
      <c r="AV41" s="161">
        <v>1119080042</v>
      </c>
      <c r="AW41" s="59">
        <v>6.0000000000000001E-3</v>
      </c>
      <c r="AX41" s="48" t="s">
        <v>52</v>
      </c>
      <c r="AY41" s="48" t="s">
        <v>60</v>
      </c>
      <c r="AZ41" s="48" t="s">
        <v>152</v>
      </c>
      <c r="BA41" s="48" t="s">
        <v>60</v>
      </c>
      <c r="BB41" s="48" t="s">
        <v>53</v>
      </c>
      <c r="BC41" s="48" t="s">
        <v>60</v>
      </c>
      <c r="BD41" s="48" t="s">
        <v>60</v>
      </c>
      <c r="BE41" s="48" t="s">
        <v>60</v>
      </c>
      <c r="BF41" s="48" t="s">
        <v>60</v>
      </c>
      <c r="BG41" s="48">
        <f>IF(OR(RawData[[#This Row],[Existing partner and/or SHEEO?]]="Existing Partner",RawData[[#This Row],[Existing partner and/or SHEEO?]]="SHEEO",RawData[[#This Row],[Existing partner and/or SHEEO?]]="Both"),2,0)+IF(ISBLANK(RawData[[#This Row],[Contact with CUNY ASAP Replication Team? (Through Spring 2025)]]),0,1)</f>
        <v>1</v>
      </c>
      <c r="BH41" s="49" t="s">
        <v>53</v>
      </c>
      <c r="BI41" s="49" t="s">
        <v>53</v>
      </c>
      <c r="BJ41" s="49" t="s">
        <v>53</v>
      </c>
      <c r="BK41" s="49" t="s">
        <v>53</v>
      </c>
      <c r="BL41" s="49" t="s">
        <v>53</v>
      </c>
      <c r="BM41" s="49" t="s">
        <v>53</v>
      </c>
      <c r="BN41" s="49" t="s">
        <v>53</v>
      </c>
      <c r="BO41" s="48">
        <f t="shared" si="4"/>
        <v>5</v>
      </c>
    </row>
    <row r="42" spans="1:67" x14ac:dyDescent="0.3">
      <c r="A42" s="50" t="s">
        <v>153</v>
      </c>
      <c r="B42" s="50" t="s">
        <v>154</v>
      </c>
      <c r="C42" s="50" t="s">
        <v>307</v>
      </c>
      <c r="D42" s="50" t="s">
        <v>307</v>
      </c>
      <c r="E42" s="50">
        <v>438</v>
      </c>
      <c r="F42" s="50">
        <v>4</v>
      </c>
      <c r="G42" s="50">
        <v>0</v>
      </c>
      <c r="H42" s="50">
        <v>5861</v>
      </c>
      <c r="I42" s="50">
        <v>9</v>
      </c>
      <c r="J42" s="50">
        <v>2</v>
      </c>
      <c r="K42" s="50">
        <v>22656</v>
      </c>
      <c r="L42" s="51">
        <v>212666</v>
      </c>
      <c r="M42" s="51">
        <v>5529450</v>
      </c>
      <c r="N42" s="51"/>
      <c r="O42" s="51">
        <v>5742116</v>
      </c>
      <c r="P42" s="51">
        <v>319955552</v>
      </c>
      <c r="Q42" s="52">
        <v>31239</v>
      </c>
      <c r="R42" s="22">
        <v>8661</v>
      </c>
      <c r="S42" s="51">
        <f t="shared" si="3"/>
        <v>10242.18291238516</v>
      </c>
      <c r="T42" s="53">
        <v>4.62</v>
      </c>
      <c r="U42" s="158">
        <v>0.67949999999999999</v>
      </c>
      <c r="V42" s="158">
        <v>-7.1999999999999995E-2</v>
      </c>
      <c r="W42" s="54">
        <f t="shared" ref="W42:W51" si="5">L42/O42</f>
        <v>3.7036172727963002E-2</v>
      </c>
      <c r="X42" s="55">
        <f>RawData[[#This Row],[Total State Aid]]/RawData[[#This Row],[Public high school graduates, 2022-23]]</f>
        <v>662.98533656621635</v>
      </c>
      <c r="Y42" s="56">
        <v>0.27400000000000002</v>
      </c>
      <c r="Z42" s="57">
        <v>1.165687641425339</v>
      </c>
      <c r="AA42" s="48">
        <v>1.8</v>
      </c>
      <c r="AB42" s="56">
        <v>0.46800000000000003</v>
      </c>
      <c r="AC42" s="151">
        <v>1878</v>
      </c>
      <c r="AD42" s="149">
        <v>0.50680000000000003</v>
      </c>
      <c r="AE42" s="149">
        <v>0.32700000000000001</v>
      </c>
      <c r="AF42" s="150">
        <v>10.78</v>
      </c>
      <c r="AG42" s="23">
        <v>5911</v>
      </c>
      <c r="AH42" s="23">
        <v>5918</v>
      </c>
      <c r="AI42" s="23">
        <v>7</v>
      </c>
      <c r="AJ42" s="59">
        <v>1.1842327658087015E-3</v>
      </c>
      <c r="AK42" s="59">
        <v>-9.0999999999999998E-2</v>
      </c>
      <c r="AL42" s="23">
        <v>1588</v>
      </c>
      <c r="AM42" s="23">
        <v>1705.3332977294922</v>
      </c>
      <c r="AN42" s="23">
        <v>255.99999523162842</v>
      </c>
      <c r="AO42" s="59">
        <v>0.63937866687774658</v>
      </c>
      <c r="AP42" s="59">
        <v>0.75449573993682861</v>
      </c>
      <c r="AQ42" s="59">
        <v>0.62109375</v>
      </c>
      <c r="AR42" s="59">
        <v>0.56100000000000005</v>
      </c>
      <c r="AS42" s="59">
        <v>0.77</v>
      </c>
      <c r="AT42" s="59">
        <v>0.44700000000000001</v>
      </c>
      <c r="AU42" s="161">
        <v>0</v>
      </c>
      <c r="AV42" s="161">
        <v>277823080</v>
      </c>
      <c r="AW42" s="59">
        <v>0</v>
      </c>
      <c r="AX42" s="48" t="s">
        <v>52</v>
      </c>
      <c r="AY42" s="48" t="s">
        <v>53</v>
      </c>
      <c r="AZ42" s="48"/>
      <c r="BA42" s="48" t="s">
        <v>53</v>
      </c>
      <c r="BB42" s="48" t="s">
        <v>53</v>
      </c>
      <c r="BC42" s="48" t="s">
        <v>53</v>
      </c>
      <c r="BD42" s="48" t="s">
        <v>53</v>
      </c>
      <c r="BE42" s="48" t="s">
        <v>60</v>
      </c>
      <c r="BF42" s="48" t="s">
        <v>60</v>
      </c>
      <c r="BG42" s="48">
        <f>IF(OR(RawData[[#This Row],[Existing partner and/or SHEEO?]]="Existing Partner",RawData[[#This Row],[Existing partner and/or SHEEO?]]="SHEEO",RawData[[#This Row],[Existing partner and/or SHEEO?]]="Both"),2,0)+IF(ISBLANK(RawData[[#This Row],[Contact with CUNY ASAP Replication Team? (Through Spring 2025)]]),0,1)</f>
        <v>1</v>
      </c>
      <c r="BH42" s="49" t="s">
        <v>53</v>
      </c>
      <c r="BI42" s="49" t="s">
        <v>53</v>
      </c>
      <c r="BJ42" s="49" t="s">
        <v>53</v>
      </c>
      <c r="BK42" s="49" t="s">
        <v>53</v>
      </c>
      <c r="BL42" s="49" t="s">
        <v>53</v>
      </c>
      <c r="BM42" s="49" t="s">
        <v>53</v>
      </c>
      <c r="BN42" s="49" t="s">
        <v>53</v>
      </c>
      <c r="BO42" s="48">
        <f t="shared" si="4"/>
        <v>2</v>
      </c>
    </row>
    <row r="43" spans="1:67" ht="39" x14ac:dyDescent="0.3">
      <c r="A43" s="50" t="s">
        <v>155</v>
      </c>
      <c r="B43" s="50" t="s">
        <v>156</v>
      </c>
      <c r="C43" s="50" t="s">
        <v>307</v>
      </c>
      <c r="D43" s="50" t="s">
        <v>307</v>
      </c>
      <c r="E43" s="50">
        <v>3634</v>
      </c>
      <c r="F43" s="50">
        <v>13</v>
      </c>
      <c r="G43" s="50">
        <v>13</v>
      </c>
      <c r="H43" s="50">
        <v>47464</v>
      </c>
      <c r="I43" s="50">
        <v>11</v>
      </c>
      <c r="J43" s="50">
        <v>2</v>
      </c>
      <c r="K43" s="50">
        <v>99899</v>
      </c>
      <c r="L43" s="51">
        <v>138536592</v>
      </c>
      <c r="M43" s="51">
        <v>411507561</v>
      </c>
      <c r="N43" s="51">
        <v>22719917</v>
      </c>
      <c r="O43" s="51">
        <v>572764070</v>
      </c>
      <c r="P43" s="51">
        <v>2803826948</v>
      </c>
      <c r="Q43" s="52">
        <v>179740</v>
      </c>
      <c r="R43" s="22">
        <v>61813</v>
      </c>
      <c r="S43" s="51">
        <f>P43/Q43</f>
        <v>15599.3487704462</v>
      </c>
      <c r="T43" s="53">
        <v>5.93</v>
      </c>
      <c r="U43" s="205">
        <v>0.82840000000000003</v>
      </c>
      <c r="V43" s="205">
        <v>7.0000000000000001E-3</v>
      </c>
      <c r="W43" s="54">
        <f t="shared" si="5"/>
        <v>0.24187374742273901</v>
      </c>
      <c r="X43" s="55">
        <f>RawData[[#This Row],[Total State Aid]]/RawData[[#This Row],[Public high school graduates, 2022-23]]</f>
        <v>9266.0778477019394</v>
      </c>
      <c r="Y43" s="56">
        <v>0.29709999999999998</v>
      </c>
      <c r="Z43" s="57">
        <v>0.87507770442351773</v>
      </c>
      <c r="AA43" s="48">
        <v>3.4</v>
      </c>
      <c r="AB43" s="56">
        <v>0.40200000000000002</v>
      </c>
      <c r="AC43" s="208">
        <v>1940</v>
      </c>
      <c r="AD43" s="206">
        <v>0.7157</v>
      </c>
      <c r="AE43" s="206">
        <v>0.31900000000000001</v>
      </c>
      <c r="AF43" s="207">
        <v>14.34</v>
      </c>
      <c r="AG43" s="23">
        <v>56894</v>
      </c>
      <c r="AH43" s="23">
        <v>44924</v>
      </c>
      <c r="AI43" s="23">
        <v>-11970</v>
      </c>
      <c r="AJ43" s="59">
        <v>-0.21039125323295593</v>
      </c>
      <c r="AK43" s="59">
        <v>-6.0000000000000001E-3</v>
      </c>
      <c r="AL43" s="23">
        <v>17179.66650390625</v>
      </c>
      <c r="AM43" s="23">
        <v>16082.333312988281</v>
      </c>
      <c r="AN43" s="23">
        <v>2137.333324432373</v>
      </c>
      <c r="AO43" s="59">
        <v>0.25794059038162231</v>
      </c>
      <c r="AP43" s="59">
        <v>0.51323401927947998</v>
      </c>
      <c r="AQ43" s="59">
        <v>0.4072052538394928</v>
      </c>
      <c r="AR43" s="59">
        <v>0.56000000000000005</v>
      </c>
      <c r="AS43" s="59">
        <v>0.77100000000000002</v>
      </c>
      <c r="AT43" s="59">
        <v>0.42899999999999999</v>
      </c>
      <c r="AU43" s="161">
        <v>1463876300</v>
      </c>
      <c r="AV43" s="161">
        <v>1801875513</v>
      </c>
      <c r="AW43" s="59">
        <v>0.81200000000000006</v>
      </c>
      <c r="AX43" s="48" t="s">
        <v>64</v>
      </c>
      <c r="AY43" s="48" t="s">
        <v>60</v>
      </c>
      <c r="AZ43" s="48" t="s">
        <v>157</v>
      </c>
      <c r="BA43" s="48" t="s">
        <v>60</v>
      </c>
      <c r="BB43" s="48" t="s">
        <v>60</v>
      </c>
      <c r="BC43" s="48" t="s">
        <v>60</v>
      </c>
      <c r="BD43" s="48" t="s">
        <v>60</v>
      </c>
      <c r="BE43" s="48" t="s">
        <v>60</v>
      </c>
      <c r="BF43" s="48" t="s">
        <v>60</v>
      </c>
      <c r="BG43" s="48">
        <f>IF(OR(RawData[[#This Row],[Existing partner and/or SHEEO?]]="Existing Partner",RawData[[#This Row],[Existing partner and/or SHEEO?]]="SHEEO",RawData[[#This Row],[Existing partner and/or SHEEO?]]="Both"),2,0)+IF(ISBLANK(RawData[[#This Row],[Contact with CUNY ASAP Replication Team? (Through Spring 2025)]]),0,1)</f>
        <v>3</v>
      </c>
      <c r="BH43" s="49" t="s">
        <v>53</v>
      </c>
      <c r="BI43" s="23" t="s">
        <v>60</v>
      </c>
      <c r="BJ43" s="23" t="s">
        <v>60</v>
      </c>
      <c r="BK43" s="23"/>
      <c r="BL43" s="49" t="s">
        <v>53</v>
      </c>
      <c r="BM43" s="49" t="s">
        <v>53</v>
      </c>
      <c r="BN43" s="49" t="s">
        <v>53</v>
      </c>
      <c r="BO43" s="48">
        <f t="shared" si="4"/>
        <v>6</v>
      </c>
    </row>
    <row r="44" spans="1:67" x14ac:dyDescent="0.3">
      <c r="A44" s="50" t="s">
        <v>158</v>
      </c>
      <c r="B44" s="50" t="s">
        <v>159</v>
      </c>
      <c r="C44" s="50" t="s">
        <v>307</v>
      </c>
      <c r="D44" s="50" t="s">
        <v>307</v>
      </c>
      <c r="E44" s="50">
        <v>15391</v>
      </c>
      <c r="F44" s="50">
        <v>59</v>
      </c>
      <c r="G44" s="50">
        <v>35</v>
      </c>
      <c r="H44" s="50">
        <v>427816</v>
      </c>
      <c r="I44" s="50">
        <v>42</v>
      </c>
      <c r="J44" s="50">
        <v>7</v>
      </c>
      <c r="K44" s="50">
        <v>472564</v>
      </c>
      <c r="L44" s="51">
        <v>1179007312</v>
      </c>
      <c r="M44" s="51"/>
      <c r="N44" s="51">
        <v>154510663</v>
      </c>
      <c r="O44" s="51">
        <v>1333517975</v>
      </c>
      <c r="P44" s="51">
        <v>11739100332</v>
      </c>
      <c r="Q44" s="52">
        <v>1016020</v>
      </c>
      <c r="R44" s="22">
        <v>377367</v>
      </c>
      <c r="S44" s="51">
        <f t="shared" si="3"/>
        <v>11554.005169189582</v>
      </c>
      <c r="T44" s="53">
        <v>6.35</v>
      </c>
      <c r="U44" s="158">
        <v>0.38469999999999999</v>
      </c>
      <c r="V44" s="158">
        <v>-0.13500000000000001</v>
      </c>
      <c r="W44" s="54">
        <f t="shared" si="5"/>
        <v>0.88413304815032578</v>
      </c>
      <c r="X44" s="55">
        <f>RawData[[#This Row],[Total State Aid]]/RawData[[#This Row],[Public high school graduates, 2022-23]]</f>
        <v>3533.742947846526</v>
      </c>
      <c r="Y44" s="56">
        <v>0.35580000000000001</v>
      </c>
      <c r="Z44" s="57">
        <v>1.0383027142324532</v>
      </c>
      <c r="AA44" s="48">
        <v>4.0999999999999996</v>
      </c>
      <c r="AB44" s="56">
        <v>0.42</v>
      </c>
      <c r="AC44" s="151">
        <v>1525</v>
      </c>
      <c r="AD44" s="149">
        <v>0.92190000000000005</v>
      </c>
      <c r="AE44" s="149">
        <v>0.34</v>
      </c>
      <c r="AF44" s="150">
        <v>17.559999999999999</v>
      </c>
      <c r="AG44" s="23">
        <v>432182</v>
      </c>
      <c r="AH44" s="23">
        <v>421937</v>
      </c>
      <c r="AI44" s="23">
        <v>-10245</v>
      </c>
      <c r="AJ44" s="59">
        <v>-2.3705290630459785E-2</v>
      </c>
      <c r="AK44" s="59">
        <v>-1.2999999999999999E-2</v>
      </c>
      <c r="AL44" s="23">
        <v>60547.666136741638</v>
      </c>
      <c r="AM44" s="23">
        <v>42101.833230018616</v>
      </c>
      <c r="AN44" s="23">
        <v>36464.833183288574</v>
      </c>
      <c r="AO44" s="59">
        <v>0.23392589390277863</v>
      </c>
      <c r="AP44" s="59">
        <v>0.5607990026473999</v>
      </c>
      <c r="AQ44" s="59">
        <v>0.46736353635787964</v>
      </c>
      <c r="AR44" s="59">
        <v>0.59099999999999997</v>
      </c>
      <c r="AS44" s="59">
        <v>0.80300000000000005</v>
      </c>
      <c r="AT44" s="59">
        <v>0.59399999999999997</v>
      </c>
      <c r="AU44" s="161">
        <v>1671912220</v>
      </c>
      <c r="AV44" s="161">
        <v>11518081129</v>
      </c>
      <c r="AW44" s="59">
        <v>0.14499999999999999</v>
      </c>
      <c r="AX44" s="48" t="s">
        <v>52</v>
      </c>
      <c r="AY44" s="48" t="s">
        <v>60</v>
      </c>
      <c r="AZ44" s="48" t="s">
        <v>160</v>
      </c>
      <c r="BA44" s="48" t="s">
        <v>60</v>
      </c>
      <c r="BB44" s="48" t="s">
        <v>60</v>
      </c>
      <c r="BC44" s="48" t="s">
        <v>53</v>
      </c>
      <c r="BD44" s="48" t="s">
        <v>60</v>
      </c>
      <c r="BE44" s="48" t="s">
        <v>60</v>
      </c>
      <c r="BF44" s="48" t="s">
        <v>53</v>
      </c>
      <c r="BG44" s="48">
        <f>IF(OR(RawData[[#This Row],[Existing partner and/or SHEEO?]]="Existing Partner",RawData[[#This Row],[Existing partner and/or SHEEO?]]="SHEEO",RawData[[#This Row],[Existing partner and/or SHEEO?]]="Both"),2,0)+IF(ISBLANK(RawData[[#This Row],[Contact with CUNY ASAP Replication Team? (Through Spring 2025)]]),0,1)</f>
        <v>1</v>
      </c>
      <c r="BH44" s="23" t="s">
        <v>60</v>
      </c>
      <c r="BI44" s="23" t="s">
        <v>60</v>
      </c>
      <c r="BJ44" s="49" t="s">
        <v>53</v>
      </c>
      <c r="BK44" s="23" t="s">
        <v>60</v>
      </c>
      <c r="BL44" s="23" t="s">
        <v>60</v>
      </c>
      <c r="BM44" s="49" t="s">
        <v>53</v>
      </c>
      <c r="BN44" s="49" t="s">
        <v>812</v>
      </c>
      <c r="BO44" s="48">
        <f t="shared" si="4"/>
        <v>4</v>
      </c>
    </row>
    <row r="45" spans="1:67" x14ac:dyDescent="0.3">
      <c r="A45" s="50" t="s">
        <v>161</v>
      </c>
      <c r="B45" s="50" t="s">
        <v>162</v>
      </c>
      <c r="C45" s="50" t="s">
        <v>307</v>
      </c>
      <c r="D45" s="50" t="s">
        <v>307</v>
      </c>
      <c r="E45" s="50">
        <v>1616</v>
      </c>
      <c r="F45" s="50">
        <v>2</v>
      </c>
      <c r="G45" s="50">
        <v>1</v>
      </c>
      <c r="H45" s="50">
        <v>19167</v>
      </c>
      <c r="I45" s="50">
        <v>6</v>
      </c>
      <c r="J45" s="50">
        <v>0</v>
      </c>
      <c r="K45" s="50">
        <v>108192</v>
      </c>
      <c r="L45" s="51">
        <v>4994064</v>
      </c>
      <c r="M45" s="51">
        <v>9351867</v>
      </c>
      <c r="N45" s="51"/>
      <c r="O45" s="51">
        <v>14345931</v>
      </c>
      <c r="P45" s="51">
        <v>1514706700</v>
      </c>
      <c r="Q45" s="52">
        <v>131056</v>
      </c>
      <c r="R45" s="22">
        <v>46110</v>
      </c>
      <c r="S45" s="51">
        <f t="shared" si="3"/>
        <v>11557.705866194603</v>
      </c>
      <c r="T45" s="53">
        <v>7.22</v>
      </c>
      <c r="U45" s="158">
        <v>0.74709999999999999</v>
      </c>
      <c r="V45" s="158">
        <v>-5.5E-2</v>
      </c>
      <c r="W45" s="54">
        <f t="shared" si="5"/>
        <v>0.34811710721318817</v>
      </c>
      <c r="X45" s="55">
        <f>RawData[[#This Row],[Total State Aid]]/RawData[[#This Row],[Public high school graduates, 2022-23]]</f>
        <v>311.12407286922576</v>
      </c>
      <c r="Y45" s="56">
        <v>0.1759</v>
      </c>
      <c r="Z45" s="57">
        <v>1.355089847406983</v>
      </c>
      <c r="AA45" s="48">
        <v>3.2</v>
      </c>
      <c r="AB45" s="56">
        <v>0.47499999999999998</v>
      </c>
      <c r="AC45" s="151">
        <v>2303</v>
      </c>
      <c r="AD45" s="149">
        <v>0.56789999999999996</v>
      </c>
      <c r="AE45" s="149">
        <v>0.374</v>
      </c>
      <c r="AF45" s="150">
        <v>20.57</v>
      </c>
      <c r="AG45" s="23">
        <v>20488</v>
      </c>
      <c r="AH45" s="23">
        <v>18388</v>
      </c>
      <c r="AI45" s="23">
        <v>-2100</v>
      </c>
      <c r="AJ45" s="59">
        <v>-0.10249902307987213</v>
      </c>
      <c r="AK45" s="59">
        <v>5.0999999999999997E-2</v>
      </c>
      <c r="AL45" s="23">
        <v>1757.3333339691162</v>
      </c>
      <c r="AM45" s="23">
        <v>2484.3333740234375</v>
      </c>
      <c r="AN45" s="23">
        <v>2183.333251953125</v>
      </c>
      <c r="AO45" s="59">
        <v>0.31411227583885193</v>
      </c>
      <c r="AP45" s="59">
        <v>0.57332617044448853</v>
      </c>
      <c r="AQ45" s="59">
        <v>0.41404581069946289</v>
      </c>
      <c r="AR45" s="59">
        <v>0.55200000000000005</v>
      </c>
      <c r="AS45" s="59">
        <v>0.746</v>
      </c>
      <c r="AT45" s="59">
        <v>0.45600000000000002</v>
      </c>
      <c r="AU45" s="161">
        <v>31434000</v>
      </c>
      <c r="AV45" s="161">
        <v>1657842588</v>
      </c>
      <c r="AW45" s="59">
        <v>1.9E-2</v>
      </c>
      <c r="AX45" s="48" t="s">
        <v>52</v>
      </c>
      <c r="AY45" s="48" t="s">
        <v>53</v>
      </c>
      <c r="AZ45" s="48"/>
      <c r="BA45" s="48" t="s">
        <v>60</v>
      </c>
      <c r="BB45" s="48" t="s">
        <v>60</v>
      </c>
      <c r="BC45" s="48" t="s">
        <v>53</v>
      </c>
      <c r="BD45" s="48" t="s">
        <v>60</v>
      </c>
      <c r="BE45" s="48" t="s">
        <v>53</v>
      </c>
      <c r="BF45" s="48" t="s">
        <v>60</v>
      </c>
      <c r="BG45" s="48">
        <f>IF(OR(RawData[[#This Row],[Existing partner and/or SHEEO?]]="Existing Partner",RawData[[#This Row],[Existing partner and/or SHEEO?]]="SHEEO",RawData[[#This Row],[Existing partner and/or SHEEO?]]="Both"),2,0)+IF(ISBLANK(RawData[[#This Row],[Contact with CUNY ASAP Replication Team? (Through Spring 2025)]]),0,1)</f>
        <v>1</v>
      </c>
      <c r="BH45" s="49" t="s">
        <v>53</v>
      </c>
      <c r="BI45" s="49" t="s">
        <v>53</v>
      </c>
      <c r="BJ45" s="49" t="s">
        <v>53</v>
      </c>
      <c r="BK45" s="49" t="s">
        <v>53</v>
      </c>
      <c r="BL45" s="49" t="s">
        <v>53</v>
      </c>
      <c r="BM45" s="49" t="s">
        <v>53</v>
      </c>
      <c r="BN45" s="49" t="s">
        <v>53</v>
      </c>
      <c r="BO45" s="48">
        <f t="shared" si="4"/>
        <v>4</v>
      </c>
    </row>
    <row r="46" spans="1:67" x14ac:dyDescent="0.3">
      <c r="A46" s="50" t="s">
        <v>163</v>
      </c>
      <c r="B46" s="50" t="s">
        <v>164</v>
      </c>
      <c r="C46" s="50" t="s">
        <v>307</v>
      </c>
      <c r="D46" s="50" t="s">
        <v>311</v>
      </c>
      <c r="E46" s="50">
        <v>330</v>
      </c>
      <c r="F46" s="50">
        <v>2</v>
      </c>
      <c r="G46" s="50">
        <v>1</v>
      </c>
      <c r="H46" s="50">
        <v>4545</v>
      </c>
      <c r="I46" s="50">
        <v>3</v>
      </c>
      <c r="J46" s="50">
        <v>0</v>
      </c>
      <c r="K46" s="50">
        <v>14121</v>
      </c>
      <c r="L46" s="51">
        <v>25005581</v>
      </c>
      <c r="M46" s="51">
        <v>70145</v>
      </c>
      <c r="N46" s="51">
        <v>4704078</v>
      </c>
      <c r="O46" s="51">
        <v>29779804</v>
      </c>
      <c r="P46" s="51">
        <v>128315277</v>
      </c>
      <c r="Q46" s="52">
        <v>19769</v>
      </c>
      <c r="R46" s="22">
        <v>5006</v>
      </c>
      <c r="S46" s="51">
        <f t="shared" si="3"/>
        <v>6490.7318023167581</v>
      </c>
      <c r="T46" s="53">
        <v>2.85</v>
      </c>
      <c r="U46" s="158">
        <v>0.497</v>
      </c>
      <c r="V46" s="158">
        <v>-0.13100000000000001</v>
      </c>
      <c r="W46" s="54">
        <f t="shared" si="5"/>
        <v>0.83968252443837443</v>
      </c>
      <c r="X46" s="55">
        <f>RawData[[#This Row],[Total State Aid]]/RawData[[#This Row],[Public high school graduates, 2022-23]]</f>
        <v>5948.8222133439876</v>
      </c>
      <c r="Y46" s="56">
        <v>0.28420000000000001</v>
      </c>
      <c r="Z46" s="57">
        <v>0.60675929858625077</v>
      </c>
      <c r="AA46" s="48">
        <v>2.2999999999999998</v>
      </c>
      <c r="AB46" s="56">
        <v>0.52100000000000002</v>
      </c>
      <c r="AC46" s="151">
        <v>1611</v>
      </c>
      <c r="AD46" s="149">
        <v>0.3906</v>
      </c>
      <c r="AE46" s="149">
        <v>0.43099999999999999</v>
      </c>
      <c r="AF46" s="150">
        <v>15.03</v>
      </c>
      <c r="AG46" s="23">
        <v>3947</v>
      </c>
      <c r="AH46" s="23">
        <v>6324</v>
      </c>
      <c r="AI46" s="23">
        <v>2377</v>
      </c>
      <c r="AJ46" s="59">
        <v>0.6022295355796814</v>
      </c>
      <c r="AK46" s="59">
        <v>0.05</v>
      </c>
      <c r="AL46" s="23">
        <v>521.00001525878906</v>
      </c>
      <c r="AM46" s="23">
        <v>247.33332824707031</v>
      </c>
      <c r="AN46" s="23">
        <v>531.99997973442078</v>
      </c>
      <c r="AO46" s="59">
        <v>0.40179142355918884</v>
      </c>
      <c r="AP46" s="59">
        <v>0.54312670230865479</v>
      </c>
      <c r="AQ46" s="59">
        <v>0.33646616339683533</v>
      </c>
      <c r="AR46" s="59">
        <v>0.69099999999999995</v>
      </c>
      <c r="AS46" s="59">
        <v>0.83</v>
      </c>
      <c r="AT46" s="59">
        <v>0.42299999999999999</v>
      </c>
      <c r="AU46" s="161">
        <v>0</v>
      </c>
      <c r="AV46" s="161">
        <v>97859906</v>
      </c>
      <c r="AW46" s="59">
        <v>0</v>
      </c>
      <c r="AX46" s="48" t="s">
        <v>52</v>
      </c>
      <c r="AY46" s="48" t="s">
        <v>53</v>
      </c>
      <c r="AZ46" s="48"/>
      <c r="BA46" s="48" t="s">
        <v>53</v>
      </c>
      <c r="BB46" s="48" t="s">
        <v>53</v>
      </c>
      <c r="BC46" s="48" t="s">
        <v>60</v>
      </c>
      <c r="BD46" s="48" t="s">
        <v>60</v>
      </c>
      <c r="BE46" s="48" t="s">
        <v>53</v>
      </c>
      <c r="BF46" s="48" t="s">
        <v>53</v>
      </c>
      <c r="BG46" s="48">
        <f>IF(OR(RawData[[#This Row],[Existing partner and/or SHEEO?]]="Existing Partner",RawData[[#This Row],[Existing partner and/or SHEEO?]]="SHEEO",RawData[[#This Row],[Existing partner and/or SHEEO?]]="Both"),2,0)+IF(ISBLANK(RawData[[#This Row],[Contact with CUNY ASAP Replication Team? (Through Spring 2025)]]),0,1)</f>
        <v>1</v>
      </c>
      <c r="BH46" s="49" t="s">
        <v>53</v>
      </c>
      <c r="BI46" s="23" t="s">
        <v>60</v>
      </c>
      <c r="BJ46" s="49" t="s">
        <v>53</v>
      </c>
      <c r="BK46" s="49" t="s">
        <v>53</v>
      </c>
      <c r="BL46" s="49" t="s">
        <v>53</v>
      </c>
      <c r="BM46" s="49" t="s">
        <v>53</v>
      </c>
      <c r="BN46" s="49" t="s">
        <v>53</v>
      </c>
      <c r="BO46" s="48">
        <f t="shared" si="4"/>
        <v>2</v>
      </c>
    </row>
    <row r="47" spans="1:67" x14ac:dyDescent="0.3">
      <c r="A47" s="50" t="s">
        <v>165</v>
      </c>
      <c r="B47" s="50" t="s">
        <v>166</v>
      </c>
      <c r="C47" s="50" t="s">
        <v>307</v>
      </c>
      <c r="D47" s="50" t="s">
        <v>311</v>
      </c>
      <c r="E47" s="50">
        <v>4549</v>
      </c>
      <c r="F47" s="50">
        <v>24</v>
      </c>
      <c r="G47" s="50">
        <v>9</v>
      </c>
      <c r="H47" s="50">
        <v>89729</v>
      </c>
      <c r="I47" s="50">
        <v>15</v>
      </c>
      <c r="J47" s="50">
        <v>0</v>
      </c>
      <c r="K47" s="50">
        <v>163822</v>
      </c>
      <c r="L47" s="51">
        <v>686337750</v>
      </c>
      <c r="M47" s="51">
        <v>116151776</v>
      </c>
      <c r="N47" s="51">
        <v>225480636</v>
      </c>
      <c r="O47" s="51">
        <v>1027970162</v>
      </c>
      <c r="P47" s="51">
        <v>3050284911</v>
      </c>
      <c r="Q47" s="52">
        <v>292848</v>
      </c>
      <c r="R47" s="22">
        <v>92627</v>
      </c>
      <c r="S47" s="51">
        <f t="shared" si="3"/>
        <v>10415.93219349287</v>
      </c>
      <c r="T47" s="53">
        <v>4.6900000000000004</v>
      </c>
      <c r="U47" s="158">
        <v>0.85219999999999996</v>
      </c>
      <c r="V47" s="158">
        <v>0.09</v>
      </c>
      <c r="W47" s="54">
        <f t="shared" si="5"/>
        <v>0.66766310479739388</v>
      </c>
      <c r="X47" s="55">
        <f>RawData[[#This Row],[Total State Aid]]/RawData[[#This Row],[Public high school graduates, 2022-23]]</f>
        <v>11097.953749986505</v>
      </c>
      <c r="Y47" s="56">
        <v>0.311</v>
      </c>
      <c r="Z47" s="57">
        <v>0.95846146710113977</v>
      </c>
      <c r="AA47" s="48">
        <v>2.9</v>
      </c>
      <c r="AB47" s="56">
        <v>0.51500000000000001</v>
      </c>
      <c r="AC47" s="151">
        <v>1835</v>
      </c>
      <c r="AD47" s="149">
        <v>0.96960000000000002</v>
      </c>
      <c r="AE47" s="149">
        <v>0.434</v>
      </c>
      <c r="AF47" s="150">
        <v>16.03</v>
      </c>
      <c r="AG47" s="23">
        <v>100140</v>
      </c>
      <c r="AH47" s="23">
        <v>87056</v>
      </c>
      <c r="AI47" s="23">
        <v>-13084</v>
      </c>
      <c r="AJ47" s="59">
        <v>-0.13065707683563232</v>
      </c>
      <c r="AK47" s="59">
        <v>-2.5000000000000001E-2</v>
      </c>
      <c r="AL47" s="23">
        <v>16059.000007629395</v>
      </c>
      <c r="AM47" s="23">
        <v>15147.000228881836</v>
      </c>
      <c r="AN47" s="23">
        <v>9923.6667804718018</v>
      </c>
      <c r="AO47" s="59">
        <v>0.35112190246582031</v>
      </c>
      <c r="AP47" s="59">
        <v>0.63370084762573242</v>
      </c>
      <c r="AQ47" s="59">
        <v>0.4511101245880127</v>
      </c>
      <c r="AR47" s="59">
        <v>0.73099999999999998</v>
      </c>
      <c r="AS47" s="59">
        <v>0.85699999999999998</v>
      </c>
      <c r="AT47" s="59">
        <v>0.621</v>
      </c>
      <c r="AU47" s="161">
        <v>0</v>
      </c>
      <c r="AV47" s="161">
        <v>2402471369</v>
      </c>
      <c r="AW47" s="59">
        <v>0</v>
      </c>
      <c r="AX47" s="48" t="s">
        <v>52</v>
      </c>
      <c r="AY47" s="48" t="s">
        <v>53</v>
      </c>
      <c r="AZ47" s="48"/>
      <c r="BA47" s="48" t="s">
        <v>53</v>
      </c>
      <c r="BB47" s="48" t="s">
        <v>53</v>
      </c>
      <c r="BC47" s="48" t="s">
        <v>60</v>
      </c>
      <c r="BD47" s="48" t="s">
        <v>60</v>
      </c>
      <c r="BE47" s="48" t="s">
        <v>60</v>
      </c>
      <c r="BF47" s="48" t="s">
        <v>60</v>
      </c>
      <c r="BG47" s="48">
        <f>IF(OR(RawData[[#This Row],[Existing partner and/or SHEEO?]]="Existing Partner",RawData[[#This Row],[Existing partner and/or SHEEO?]]="SHEEO",RawData[[#This Row],[Existing partner and/or SHEEO?]]="Both"),2,0)+IF(ISBLANK(RawData[[#This Row],[Contact with CUNY ASAP Replication Team? (Through Spring 2025)]]),0,1)</f>
        <v>1</v>
      </c>
      <c r="BH47" s="49" t="s">
        <v>53</v>
      </c>
      <c r="BI47" s="23" t="s">
        <v>60</v>
      </c>
      <c r="BJ47" s="49" t="s">
        <v>53</v>
      </c>
      <c r="BK47" s="49" t="s">
        <v>53</v>
      </c>
      <c r="BL47" s="49" t="s">
        <v>53</v>
      </c>
      <c r="BM47" s="49" t="s">
        <v>53</v>
      </c>
      <c r="BN47" s="49" t="s">
        <v>53</v>
      </c>
      <c r="BO47" s="48">
        <f t="shared" si="4"/>
        <v>4</v>
      </c>
    </row>
    <row r="48" spans="1:67" ht="26" x14ac:dyDescent="0.3">
      <c r="A48" s="50" t="s">
        <v>167</v>
      </c>
      <c r="B48" s="50" t="s">
        <v>168</v>
      </c>
      <c r="C48" s="50" t="s">
        <v>311</v>
      </c>
      <c r="D48" s="50" t="s">
        <v>311</v>
      </c>
      <c r="E48" s="50">
        <v>4147</v>
      </c>
      <c r="F48" s="50">
        <v>33</v>
      </c>
      <c r="G48" s="50">
        <v>1</v>
      </c>
      <c r="H48" s="50">
        <v>117332</v>
      </c>
      <c r="I48" s="50">
        <v>9</v>
      </c>
      <c r="J48" s="50">
        <v>0</v>
      </c>
      <c r="K48" s="50">
        <v>96935</v>
      </c>
      <c r="L48" s="51">
        <v>509457351</v>
      </c>
      <c r="M48" s="51">
        <v>11738422</v>
      </c>
      <c r="N48" s="51">
        <v>8964720</v>
      </c>
      <c r="O48" s="51">
        <v>530160493</v>
      </c>
      <c r="P48" s="51">
        <v>2614648320</v>
      </c>
      <c r="Q48" s="52">
        <v>204956</v>
      </c>
      <c r="R48" s="22">
        <v>68308</v>
      </c>
      <c r="S48" s="51">
        <f t="shared" si="3"/>
        <v>12757.120162376315</v>
      </c>
      <c r="T48" s="53">
        <v>4.25</v>
      </c>
      <c r="U48" s="158">
        <v>1.0248999999999999</v>
      </c>
      <c r="V48" s="158">
        <v>-6.4000000000000001E-2</v>
      </c>
      <c r="W48" s="54">
        <f t="shared" si="5"/>
        <v>0.9609492931416902</v>
      </c>
      <c r="X48" s="55">
        <f>RawData[[#This Row],[Total State Aid]]/RawData[[#This Row],[Public high school graduates, 2022-23]]</f>
        <v>7761.3236077765414</v>
      </c>
      <c r="Y48" s="56">
        <v>0.2979</v>
      </c>
      <c r="Z48" s="57">
        <v>0.88990071216173527</v>
      </c>
      <c r="AA48" s="48">
        <v>4.5</v>
      </c>
      <c r="AB48" s="56">
        <v>0.5</v>
      </c>
      <c r="AC48" s="151">
        <v>1523</v>
      </c>
      <c r="AD48" s="149">
        <v>0.91339999999999999</v>
      </c>
      <c r="AE48" s="149">
        <v>0.39800000000000002</v>
      </c>
      <c r="AF48" s="150">
        <v>20.53</v>
      </c>
      <c r="AG48" s="23">
        <v>142026</v>
      </c>
      <c r="AH48" s="23">
        <v>110861</v>
      </c>
      <c r="AI48" s="23">
        <v>-31165</v>
      </c>
      <c r="AJ48" s="59">
        <v>-0.21943165361881256</v>
      </c>
      <c r="AK48" s="59">
        <v>-0.13800000000000001</v>
      </c>
      <c r="AL48" s="23">
        <v>14058.333438873291</v>
      </c>
      <c r="AM48" s="23">
        <v>2037.6666870117188</v>
      </c>
      <c r="AN48" s="23">
        <v>736.66666221618652</v>
      </c>
      <c r="AO48" s="59">
        <v>0.35637226700782776</v>
      </c>
      <c r="AP48" s="59">
        <v>0.61230164766311646</v>
      </c>
      <c r="AQ48" s="59">
        <v>0.442533940076828</v>
      </c>
      <c r="AR48" s="59">
        <v>0.67600000000000005</v>
      </c>
      <c r="AS48" s="59">
        <v>0.83099999999999996</v>
      </c>
      <c r="AT48" s="59">
        <v>0.57399999999999995</v>
      </c>
      <c r="AU48" s="161">
        <v>57267550</v>
      </c>
      <c r="AV48" s="161">
        <v>2362053000</v>
      </c>
      <c r="AW48" s="59">
        <v>2.4E-2</v>
      </c>
      <c r="AX48" s="48" t="s">
        <v>69</v>
      </c>
      <c r="AY48" s="48" t="s">
        <v>60</v>
      </c>
      <c r="AZ48" s="48" t="s">
        <v>169</v>
      </c>
      <c r="BA48" s="48" t="s">
        <v>60</v>
      </c>
      <c r="BB48" s="48" t="s">
        <v>53</v>
      </c>
      <c r="BC48" s="48" t="s">
        <v>60</v>
      </c>
      <c r="BD48" s="48" t="s">
        <v>60</v>
      </c>
      <c r="BE48" s="48" t="s">
        <v>60</v>
      </c>
      <c r="BF48" s="48" t="s">
        <v>60</v>
      </c>
      <c r="BG48" s="48">
        <f>IF(OR(RawData[[#This Row],[Existing partner and/or SHEEO?]]="Existing Partner",RawData[[#This Row],[Existing partner and/or SHEEO?]]="SHEEO",RawData[[#This Row],[Existing partner and/or SHEEO?]]="Both"),2,0)+IF(ISBLANK(RawData[[#This Row],[Contact with CUNY ASAP Replication Team? (Through Spring 2025)]]),0,1)</f>
        <v>3</v>
      </c>
      <c r="BH48" s="49" t="s">
        <v>53</v>
      </c>
      <c r="BI48" s="49" t="s">
        <v>53</v>
      </c>
      <c r="BJ48" s="49" t="s">
        <v>53</v>
      </c>
      <c r="BK48" s="49" t="s">
        <v>53</v>
      </c>
      <c r="BL48" s="49" t="s">
        <v>53</v>
      </c>
      <c r="BM48" s="49" t="s">
        <v>53</v>
      </c>
      <c r="BN48" s="49" t="s">
        <v>53</v>
      </c>
      <c r="BO48" s="48">
        <f t="shared" si="4"/>
        <v>5</v>
      </c>
    </row>
    <row r="49" spans="1:67" ht="26" x14ac:dyDescent="0.3">
      <c r="A49" s="50" t="s">
        <v>170</v>
      </c>
      <c r="B49" s="50" t="s">
        <v>171</v>
      </c>
      <c r="C49" s="50" t="s">
        <v>307</v>
      </c>
      <c r="D49" s="50" t="s">
        <v>307</v>
      </c>
      <c r="E49" s="50">
        <v>900</v>
      </c>
      <c r="F49" s="50">
        <v>11</v>
      </c>
      <c r="G49" s="50">
        <v>5</v>
      </c>
      <c r="H49" s="50">
        <v>10654</v>
      </c>
      <c r="I49" s="50">
        <v>10</v>
      </c>
      <c r="J49" s="50">
        <v>2</v>
      </c>
      <c r="K49" s="50">
        <v>42065</v>
      </c>
      <c r="L49" s="51">
        <v>43054892</v>
      </c>
      <c r="M49" s="51">
        <v>43234427</v>
      </c>
      <c r="N49" s="51">
        <v>37583569</v>
      </c>
      <c r="O49" s="51">
        <v>123872888</v>
      </c>
      <c r="P49" s="51">
        <v>539074451</v>
      </c>
      <c r="Q49" s="52">
        <v>59452</v>
      </c>
      <c r="R49" s="22">
        <v>17068</v>
      </c>
      <c r="S49" s="51">
        <f t="shared" si="3"/>
        <v>9067.3896757047696</v>
      </c>
      <c r="T49" s="53">
        <v>6.23</v>
      </c>
      <c r="U49" s="158">
        <v>0.36940000000000001</v>
      </c>
      <c r="V49" s="158">
        <v>-0.27</v>
      </c>
      <c r="W49" s="54">
        <f t="shared" si="5"/>
        <v>0.34757316710013253</v>
      </c>
      <c r="X49" s="55">
        <f>RawData[[#This Row],[Total State Aid]]/RawData[[#This Row],[Public high school graduates, 2022-23]]</f>
        <v>7257.6100304663696</v>
      </c>
      <c r="Y49" s="56">
        <v>0.36270000000000002</v>
      </c>
      <c r="Z49" s="57">
        <v>0.977443274968122</v>
      </c>
      <c r="AA49" s="48">
        <v>4.0999999999999996</v>
      </c>
      <c r="AB49" s="56">
        <v>0.33900000000000002</v>
      </c>
      <c r="AC49" s="151">
        <v>1763</v>
      </c>
      <c r="AD49" s="149">
        <v>0.7016</v>
      </c>
      <c r="AE49" s="149">
        <v>0.246</v>
      </c>
      <c r="AF49" s="150">
        <v>7.6</v>
      </c>
      <c r="AG49" s="23">
        <v>12715</v>
      </c>
      <c r="AH49" s="23">
        <v>10624</v>
      </c>
      <c r="AI49" s="23">
        <v>-2091</v>
      </c>
      <c r="AJ49" s="59">
        <v>-0.16445143520832062</v>
      </c>
      <c r="AK49" s="59">
        <v>-0.13400000000000001</v>
      </c>
      <c r="AL49" s="23">
        <v>3086.6666240692139</v>
      </c>
      <c r="AM49" s="23">
        <v>2510.6666679382324</v>
      </c>
      <c r="AN49" s="23">
        <v>470.99999666213989</v>
      </c>
      <c r="AO49" s="59">
        <v>0.30863931775093079</v>
      </c>
      <c r="AP49" s="59">
        <v>0.53810405731201172</v>
      </c>
      <c r="AQ49" s="59">
        <v>0.39348903298377991</v>
      </c>
      <c r="AR49" s="59">
        <v>0.54200000000000004</v>
      </c>
      <c r="AS49" s="59">
        <v>0.747</v>
      </c>
      <c r="AT49" s="59">
        <v>0.26600000000000001</v>
      </c>
      <c r="AU49" s="161">
        <v>0</v>
      </c>
      <c r="AV49" s="161">
        <v>306895355</v>
      </c>
      <c r="AW49" s="59">
        <v>0</v>
      </c>
      <c r="AX49" s="48" t="s">
        <v>64</v>
      </c>
      <c r="AY49" s="48" t="s">
        <v>60</v>
      </c>
      <c r="AZ49" s="48" t="s">
        <v>172</v>
      </c>
      <c r="BA49" s="48" t="s">
        <v>53</v>
      </c>
      <c r="BB49" s="48" t="s">
        <v>53</v>
      </c>
      <c r="BC49" s="48" t="s">
        <v>60</v>
      </c>
      <c r="BD49" s="48" t="s">
        <v>60</v>
      </c>
      <c r="BE49" s="48" t="s">
        <v>60</v>
      </c>
      <c r="BF49" s="48" t="s">
        <v>60</v>
      </c>
      <c r="BG49" s="48">
        <f>IF(OR(RawData[[#This Row],[Existing partner and/or SHEEO?]]="Existing Partner",RawData[[#This Row],[Existing partner and/or SHEEO?]]="SHEEO",RawData[[#This Row],[Existing partner and/or SHEEO?]]="Both"),2,0)+IF(ISBLANK(RawData[[#This Row],[Contact with CUNY ASAP Replication Team? (Through Spring 2025)]]),0,1)</f>
        <v>3</v>
      </c>
      <c r="BH49" s="49" t="s">
        <v>53</v>
      </c>
      <c r="BI49" s="49" t="s">
        <v>53</v>
      </c>
      <c r="BJ49" s="23" t="s">
        <v>60</v>
      </c>
      <c r="BK49" s="49" t="s">
        <v>53</v>
      </c>
      <c r="BL49" s="49" t="s">
        <v>53</v>
      </c>
      <c r="BM49" s="49" t="s">
        <v>53</v>
      </c>
      <c r="BN49" s="49" t="s">
        <v>53</v>
      </c>
      <c r="BO49" s="48">
        <f t="shared" si="4"/>
        <v>4</v>
      </c>
    </row>
    <row r="50" spans="1:67" x14ac:dyDescent="0.3">
      <c r="A50" s="50" t="s">
        <v>173</v>
      </c>
      <c r="B50" s="50" t="s">
        <v>174</v>
      </c>
      <c r="C50" s="50" t="s">
        <v>311</v>
      </c>
      <c r="D50" s="50" t="s">
        <v>307</v>
      </c>
      <c r="E50" s="50">
        <v>3010</v>
      </c>
      <c r="F50" s="50">
        <v>16</v>
      </c>
      <c r="G50" s="50">
        <v>1</v>
      </c>
      <c r="H50" s="50">
        <v>51143</v>
      </c>
      <c r="I50" s="50">
        <v>16</v>
      </c>
      <c r="J50" s="50">
        <v>0</v>
      </c>
      <c r="K50" s="50">
        <v>120561</v>
      </c>
      <c r="L50" s="51">
        <v>112362506</v>
      </c>
      <c r="M50" s="51">
        <v>4283549</v>
      </c>
      <c r="N50" s="51">
        <v>13759266</v>
      </c>
      <c r="O50" s="51">
        <v>130405321</v>
      </c>
      <c r="P50" s="51">
        <v>2019871243</v>
      </c>
      <c r="Q50" s="52">
        <v>196259</v>
      </c>
      <c r="R50" s="22">
        <v>61460</v>
      </c>
      <c r="S50" s="51">
        <f t="shared" si="3"/>
        <v>10291.865560305514</v>
      </c>
      <c r="T50" s="53">
        <v>5.67</v>
      </c>
      <c r="U50" s="158">
        <v>0.33829999999999999</v>
      </c>
      <c r="V50" s="158">
        <v>-0.23200000000000001</v>
      </c>
      <c r="W50" s="54">
        <f t="shared" si="5"/>
        <v>0.86164050008358173</v>
      </c>
      <c r="X50" s="55">
        <f>RawData[[#This Row],[Total State Aid]]/RawData[[#This Row],[Public high school graduates, 2022-23]]</f>
        <v>2121.7917507321836</v>
      </c>
      <c r="Y50" s="56">
        <v>0.2863</v>
      </c>
      <c r="Z50" s="57">
        <v>1.049819935947695</v>
      </c>
      <c r="AA50" s="48">
        <v>3</v>
      </c>
      <c r="AB50" s="56">
        <v>0.46800000000000003</v>
      </c>
      <c r="AC50" s="151">
        <v>1918</v>
      </c>
      <c r="AD50" s="149">
        <v>0.58989999999999998</v>
      </c>
      <c r="AE50" s="149">
        <v>0.34599999999999997</v>
      </c>
      <c r="AF50" s="150">
        <v>11.26</v>
      </c>
      <c r="AG50" s="23">
        <v>56907</v>
      </c>
      <c r="AH50" s="23">
        <v>51601</v>
      </c>
      <c r="AI50" s="23">
        <v>-5306</v>
      </c>
      <c r="AJ50" s="59">
        <v>-9.3239843845367432E-2</v>
      </c>
      <c r="AK50" s="59">
        <v>-7.6999999999999999E-2</v>
      </c>
      <c r="AL50" s="23">
        <v>6544.3332672119141</v>
      </c>
      <c r="AM50" s="23">
        <v>5682.6667251586914</v>
      </c>
      <c r="AN50" s="23">
        <v>5971.3333892822266</v>
      </c>
      <c r="AO50" s="59">
        <v>0.40075382590293884</v>
      </c>
      <c r="AP50" s="59">
        <v>0.64289063215255737</v>
      </c>
      <c r="AQ50" s="59">
        <v>0.53388410806655884</v>
      </c>
      <c r="AR50" s="59">
        <v>0.66</v>
      </c>
      <c r="AS50" s="59">
        <v>0.81699999999999995</v>
      </c>
      <c r="AT50" s="59">
        <v>0.44400000000000001</v>
      </c>
      <c r="AU50" s="161">
        <v>31915020</v>
      </c>
      <c r="AV50" s="161">
        <v>1760685855</v>
      </c>
      <c r="AW50" s="59">
        <v>1.7999999999999999E-2</v>
      </c>
      <c r="AX50" s="48" t="s">
        <v>52</v>
      </c>
      <c r="AY50" s="48" t="s">
        <v>53</v>
      </c>
      <c r="AZ50" s="48"/>
      <c r="BA50" s="48" t="s">
        <v>60</v>
      </c>
      <c r="BB50" s="48" t="s">
        <v>53</v>
      </c>
      <c r="BC50" s="48" t="s">
        <v>53</v>
      </c>
      <c r="BD50" s="48" t="s">
        <v>60</v>
      </c>
      <c r="BE50" s="48" t="s">
        <v>60</v>
      </c>
      <c r="BF50" s="48" t="s">
        <v>60</v>
      </c>
      <c r="BG50" s="48">
        <f>IF(OR(RawData[[#This Row],[Existing partner and/or SHEEO?]]="Existing Partner",RawData[[#This Row],[Existing partner and/or SHEEO?]]="SHEEO",RawData[[#This Row],[Existing partner and/or SHEEO?]]="Both"),2,0)+IF(ISBLANK(RawData[[#This Row],[Contact with CUNY ASAP Replication Team? (Through Spring 2025)]]),0,1)</f>
        <v>1</v>
      </c>
      <c r="BH50" s="49" t="s">
        <v>53</v>
      </c>
      <c r="BI50" s="49" t="s">
        <v>53</v>
      </c>
      <c r="BJ50" s="49" t="s">
        <v>53</v>
      </c>
      <c r="BK50" s="49" t="s">
        <v>53</v>
      </c>
      <c r="BL50" s="49" t="s">
        <v>53</v>
      </c>
      <c r="BM50" s="49" t="s">
        <v>53</v>
      </c>
      <c r="BN50" s="49" t="s">
        <v>53</v>
      </c>
      <c r="BO50" s="48">
        <f t="shared" si="4"/>
        <v>4</v>
      </c>
    </row>
    <row r="51" spans="1:67" x14ac:dyDescent="0.3">
      <c r="A51" s="50" t="s">
        <v>175</v>
      </c>
      <c r="B51" s="50" t="s">
        <v>176</v>
      </c>
      <c r="C51" s="50" t="s">
        <v>307</v>
      </c>
      <c r="D51" s="50" t="s">
        <v>307</v>
      </c>
      <c r="E51" s="50">
        <v>291</v>
      </c>
      <c r="F51" s="50">
        <v>7</v>
      </c>
      <c r="G51" s="50">
        <v>0</v>
      </c>
      <c r="H51" s="50">
        <v>10504</v>
      </c>
      <c r="I51" s="50">
        <v>1</v>
      </c>
      <c r="J51" s="50">
        <v>0</v>
      </c>
      <c r="K51" s="50">
        <v>7877</v>
      </c>
      <c r="L51" s="51">
        <v>15353773</v>
      </c>
      <c r="M51" s="51"/>
      <c r="N51" s="51"/>
      <c r="O51" s="51">
        <v>15353773</v>
      </c>
      <c r="P51" s="51">
        <v>395521036</v>
      </c>
      <c r="Q51" s="52">
        <v>20927</v>
      </c>
      <c r="R51" s="22">
        <v>6208</v>
      </c>
      <c r="S51" s="51">
        <f t="shared" si="3"/>
        <v>18900.035169876235</v>
      </c>
      <c r="T51" s="53">
        <v>9.59</v>
      </c>
      <c r="U51" s="158">
        <v>0.22270000000000001</v>
      </c>
      <c r="V51" s="158">
        <v>-0.26300000000000001</v>
      </c>
      <c r="W51" s="54">
        <f t="shared" si="5"/>
        <v>1</v>
      </c>
      <c r="X51" s="55">
        <f>RawData[[#This Row],[Total State Aid]]/RawData[[#This Row],[Public high school graduates, 2022-23]]</f>
        <v>2473.2237435567008</v>
      </c>
      <c r="Y51" s="56">
        <v>0.26929999999999998</v>
      </c>
      <c r="Z51" s="57">
        <v>0.44699191632311325</v>
      </c>
      <c r="AA51" s="48">
        <v>3.2</v>
      </c>
      <c r="AB51" s="56">
        <v>0.42899999999999999</v>
      </c>
      <c r="AC51" s="151">
        <v>3166</v>
      </c>
      <c r="AD51" s="149">
        <v>0.44700000000000001</v>
      </c>
      <c r="AE51" s="149">
        <v>0.29799999999999999</v>
      </c>
      <c r="AF51" s="150">
        <v>12.3</v>
      </c>
      <c r="AG51" s="23">
        <v>11701</v>
      </c>
      <c r="AH51" s="23">
        <v>10341</v>
      </c>
      <c r="AI51" s="23">
        <v>-1360</v>
      </c>
      <c r="AJ51" s="59">
        <v>-0.11622938513755798</v>
      </c>
      <c r="AK51" s="59">
        <v>-0.16</v>
      </c>
      <c r="AL51" s="23">
        <v>2741.9999847412109</v>
      </c>
      <c r="AM51" s="23">
        <v>1686.1666717529297</v>
      </c>
      <c r="AN51" s="23">
        <v>287.33333778381348</v>
      </c>
      <c r="AO51" s="59">
        <v>0.37454414367675781</v>
      </c>
      <c r="AP51" s="59">
        <v>0.61075419187545776</v>
      </c>
      <c r="AQ51" s="59">
        <v>0.31844547390937805</v>
      </c>
      <c r="AR51" s="59">
        <v>0.60299999999999998</v>
      </c>
      <c r="AS51" s="59">
        <v>0.77300000000000002</v>
      </c>
      <c r="AT51" s="59">
        <v>0.38600000000000001</v>
      </c>
      <c r="AU51" s="161">
        <v>17929708</v>
      </c>
      <c r="AV51" s="161">
        <v>369612542</v>
      </c>
      <c r="AW51" s="59">
        <v>4.9000000000000002E-2</v>
      </c>
      <c r="AX51" s="48" t="s">
        <v>52</v>
      </c>
      <c r="AY51" s="48" t="s">
        <v>53</v>
      </c>
      <c r="AZ51" s="48"/>
      <c r="BA51" s="48" t="s">
        <v>60</v>
      </c>
      <c r="BB51" s="48" t="s">
        <v>53</v>
      </c>
      <c r="BC51" s="48" t="s">
        <v>60</v>
      </c>
      <c r="BD51" s="48" t="s">
        <v>60</v>
      </c>
      <c r="BE51" s="48" t="s">
        <v>60</v>
      </c>
      <c r="BF51" s="48" t="s">
        <v>60</v>
      </c>
      <c r="BG51" s="48">
        <f>IF(OR(RawData[[#This Row],[Existing partner and/or SHEEO?]]="Existing Partner",RawData[[#This Row],[Existing partner and/or SHEEO?]]="SHEEO",RawData[[#This Row],[Existing partner and/or SHEEO?]]="Both"),2,0)+IF(ISBLANK(RawData[[#This Row],[Contact with CUNY ASAP Replication Team? (Through Spring 2025)]]),0,1)</f>
        <v>1</v>
      </c>
      <c r="BH51" s="49" t="s">
        <v>53</v>
      </c>
      <c r="BI51" s="49" t="s">
        <v>53</v>
      </c>
      <c r="BJ51" s="49" t="s">
        <v>53</v>
      </c>
      <c r="BK51" s="49" t="s">
        <v>53</v>
      </c>
      <c r="BL51" s="49" t="s">
        <v>53</v>
      </c>
      <c r="BM51" s="49" t="s">
        <v>53</v>
      </c>
      <c r="BN51" s="49" t="s">
        <v>53</v>
      </c>
      <c r="BO51" s="48">
        <f t="shared" si="4"/>
        <v>5</v>
      </c>
    </row>
    <row r="52" spans="1:67" x14ac:dyDescent="0.3">
      <c r="AB52" s="149"/>
      <c r="AC52" s="149"/>
      <c r="AE52" s="149"/>
      <c r="AF52" s="149"/>
    </row>
    <row r="53" spans="1:67" x14ac:dyDescent="0.3">
      <c r="A53" s="49" t="s">
        <v>177</v>
      </c>
      <c r="E53" s="150">
        <f>AVERAGE(RawData[Working Age Population (25 - 64) (thousands) 2023])</f>
        <v>3438.96</v>
      </c>
      <c r="F53" s="150">
        <f>AVERAGE(RawData[Number of associate-granting institutions (2 year publics)])</f>
        <v>19.600000000000001</v>
      </c>
      <c r="G53" s="150">
        <f>AVERAGE(RawData[Number 2-yr publics with &lt;35% grad rates])</f>
        <v>10.44</v>
      </c>
      <c r="H53" s="150">
        <f>AVERAGE(RawData[Total FTE Enrollment at 2-yr Publics])</f>
        <v>78065.959183673476</v>
      </c>
      <c r="I53" s="150">
        <f>AVERAGE(RawData[Number of bachelors-granting institutions (4 year publics)])</f>
        <v>12.16</v>
      </c>
      <c r="J53" s="150">
        <f>AVERAGE(RawData[Number 4-yr publics with &lt;35% grad rates])</f>
        <v>1.76</v>
      </c>
      <c r="K53" s="150">
        <f>AVERAGE(RawData[Total FTE Enrollment at 4-yr Publics])</f>
        <v>109743.02</v>
      </c>
      <c r="L53" s="55">
        <f>AVERAGE(RawData[Need-based aid (2023)])</f>
        <v>211260910.03999999</v>
      </c>
      <c r="M53" s="55">
        <f>AVERAGE(RawData[Non-need based aid (2023)])</f>
        <v>85184775.681818187</v>
      </c>
      <c r="N53" s="55">
        <f>AVERAGE(RawData[Non-grant aid (2023)])</f>
        <v>32186802.547619049</v>
      </c>
      <c r="O53" s="55">
        <f>AVERAGE(RawData[Total State Aid])</f>
        <v>313260426.77999997</v>
      </c>
      <c r="P53" s="55">
        <f>AVERAGE(RawData[Total State and Local Support Excluding Federal Stimulus 2023])</f>
        <v>2562060512.8400002</v>
      </c>
      <c r="Q53" s="151">
        <f>AVERAGE(RawData[Gross FTE Enrollment 2023])</f>
        <v>207830.39999999999</v>
      </c>
      <c r="R53" s="151">
        <f>AVERAGE(RawData[Public high school graduates, 2022-23])</f>
        <v>68430.600000000006</v>
      </c>
      <c r="S53" s="55">
        <f>AVERAGE(RawData[State Support per FTE 2023])</f>
        <v>12157.975027553497</v>
      </c>
      <c r="T53" s="60">
        <f>AVERAGE(RawData[Support Per $1,000 in Personal Income 2022])</f>
        <v>5.6710000000000012</v>
      </c>
      <c r="U53" s="149">
        <f>AVERAGE(RawData[10 Year Percentage Change in State Support per FTE])</f>
        <v>0.56427399999999983</v>
      </c>
      <c r="V53" s="149">
        <f>AVERAGE(RawData[Support Per $1,000 in Personal Income Percent Change since 2012])</f>
        <v>-0.12479999999999998</v>
      </c>
      <c r="W53" s="149">
        <f>AVERAGE(RawData[ CUNY_ASAP])</f>
        <v>0.62825954093815806</v>
      </c>
      <c r="X53" s="55">
        <f>AVERAGE(RawData[[Total State financial aid spending per high school graduate ]])</f>
        <v>4001.4371843647536</v>
      </c>
      <c r="Y53" s="149">
        <f>AVERAGE(RawData[Associate Degree Premium (Over HS)])</f>
        <v>0.298404</v>
      </c>
      <c r="Z53" s="150">
        <f>AVERAGE(RawData[High-Opp Job Openings per 1,000 working age residents])</f>
        <v>0.89917307289858261</v>
      </c>
      <c r="AA53" s="150">
        <f>AVERAGE(RawData[2024 Annual Unemployment Rate])</f>
        <v>3.6819999999999999</v>
      </c>
      <c r="AB53" s="149">
        <f>AVERAGE(RawData[2023 Attainment of Associate''s Degree or Higher (25 - 64 year olds)])</f>
        <v>0.45114000000000026</v>
      </c>
      <c r="AC53" s="150">
        <f>AVERAGE(RawData[SCNC Under 65 Counts Per 1,000 Undergrad Enrollment])</f>
        <v>2216.48</v>
      </c>
      <c r="AD53" s="156">
        <f>AVERAGE(RawData[Bachelor''s Degree Premium (Over HS)])</f>
        <v>0.73120200000000002</v>
      </c>
      <c r="AE53" s="156">
        <f>AVERAGE(RawData[2023 Attainment of Bachelor''s Degree or higher])</f>
        <v>0.35231999999999991</v>
      </c>
      <c r="AF53" s="150">
        <f>AVERAGE(RawData[Avgerage Annual High-Opp Job Openings per 1,000 working age residents (Bachelors)])</f>
        <v>12.885799999999994</v>
      </c>
      <c r="AG53" s="151">
        <f>AVERAGE(RawData[FTE undergrad enrollment at public 2-yrs, 2019])</f>
        <v>88710.306122448979</v>
      </c>
      <c r="AH53" s="151">
        <f>AVERAGE(RawData[FTE undergrad enrollment at public 2-yrs, 2023])</f>
        <v>76457.795918367352</v>
      </c>
      <c r="AI53" s="151">
        <f>AVERAGE(RawData[FTE undergrad enrollment change at public 2-yrs ('#), 2019 to 2023])</f>
        <v>-12252.510204081633</v>
      </c>
      <c r="AJ53" s="149">
        <f>AVERAGE(RawData[FTE undergrad enrollment change at public 2-yrs (%), 2019 to 2023])</f>
        <v>-0.11426797977680828</v>
      </c>
      <c r="AK53" s="149">
        <f>AVERAGE(RawData[5 Year Percent Change in FTE Undergraduate Enrollment at public 4 years (2019-2023)])</f>
        <v>-6.2679999999999986E-2</v>
      </c>
      <c r="AL53" s="151">
        <f>AVERAGE(RawData[Graduation rate cohort size, public 2-yrs])</f>
        <v>13364.806135664181</v>
      </c>
      <c r="AM53" s="151">
        <f>AVERAGE(RawData[Retention rate cohort size (Full-time), public 2-yrs])</f>
        <v>10513.586803677181</v>
      </c>
      <c r="AN53" s="151">
        <f>AVERAGE(RawData[Retention rate cohort size (Part-time), public 2-yrs])</f>
        <v>6198.9166536082821</v>
      </c>
      <c r="AO53" s="149">
        <f>AVERAGE(RawData[3-year Graduation rate, public 2-yrs (3 yr rolling avg)])</f>
        <v>0.31177431770733427</v>
      </c>
      <c r="AP53" s="149">
        <f>AVERAGE(RawData[Retention rate (Full-time), public 2-yrs (3 yr rolling avg)])</f>
        <v>0.59525494525829947</v>
      </c>
      <c r="AQ53" s="149">
        <f>AVERAGE(RawData[Retention rate (Part-time), public 2-yrs (3 yr rolling avg)])</f>
        <v>0.41565258490542573</v>
      </c>
      <c r="AR53" s="149">
        <f>AVERAGE(RawData[3 Year Average Grad Rate, 150% of normal time, 4 year publics])</f>
        <v>0.61516000000000004</v>
      </c>
      <c r="AS53" s="149">
        <f>AVERAGE(RawData[3 Year Average full-time retention rate, 4 year publics])</f>
        <v>0.79990000000000006</v>
      </c>
      <c r="AT53" s="149">
        <f>AVERAGE(RawData[3 Year Average part-time retention rate, 4 year publics])</f>
        <v>0.4692599999999999</v>
      </c>
      <c r="AU53" s="159">
        <f>AVERAGE(RawData[PBF])</f>
        <v>195760209.74000001</v>
      </c>
      <c r="AV53" s="159">
        <f>AVERAGE(RawData[General Public Operations])</f>
        <v>2177519875.8200002</v>
      </c>
      <c r="AW53" s="149">
        <f>AVERAGE(RawData[PBF as a % of Total Public Operating])</f>
        <v>0.11872000000000002</v>
      </c>
    </row>
    <row r="54" spans="1:67" x14ac:dyDescent="0.3">
      <c r="A54" s="49" t="s">
        <v>178</v>
      </c>
      <c r="E54" s="150">
        <f>_xlfn.STDEV.S(RawData[Working Age Population (25 - 64) (thousands) 2023])</f>
        <v>3924.0403322315115</v>
      </c>
      <c r="F54" s="150">
        <f>_xlfn.STDEV.S(RawData[Number of associate-granting institutions (2 year publics)])</f>
        <v>19.652075758877306</v>
      </c>
      <c r="G54" s="150">
        <f>_xlfn.STDEV.S(RawData[Number 2-yr publics with &lt;35% grad rates])</f>
        <v>11.728493126587413</v>
      </c>
      <c r="H54" s="150">
        <f>_xlfn.STDEV.S(RawData[Total FTE Enrollment at 2-yr Publics])</f>
        <v>126146.8039519431</v>
      </c>
      <c r="I54" s="150">
        <f>_xlfn.STDEV.S(RawData[Number of bachelors-granting institutions (4 year publics)])</f>
        <v>9.1748547227557502</v>
      </c>
      <c r="J54" s="150">
        <f>_xlfn.STDEV.S(RawData[Number 4-yr publics with &lt;35% grad rates])</f>
        <v>3.2486103779547189</v>
      </c>
      <c r="K54" s="150">
        <f>_xlfn.STDEV.S(RawData[Total FTE Enrollment at 4-yr Publics])</f>
        <v>113442.98974905268</v>
      </c>
      <c r="L54" s="55">
        <f>_xlfn.STDEV.S(RawData[Need-based aid (2023)])</f>
        <v>438791787.88619447</v>
      </c>
      <c r="M54" s="55">
        <f>_xlfn.STDEV.S(RawData[Non-need based aid (2023)])</f>
        <v>186562022.04635182</v>
      </c>
      <c r="N54" s="55">
        <f>_xlfn.STDEV.S(RawData[Non-grant aid (2023)])</f>
        <v>51392988.168173186</v>
      </c>
      <c r="O54" s="55">
        <f>_xlfn.STDEV.S(RawData[Total State Aid])</f>
        <v>476191817.51610017</v>
      </c>
      <c r="P54" s="55">
        <f>_xlfn.STDEV.S(RawData[Total State and Local Support Excluding Federal Stimulus 2023])</f>
        <v>3810242740.283133</v>
      </c>
      <c r="Q54" s="151">
        <f>_xlfn.STDEV.S(RawData[Gross FTE Enrollment 2023])</f>
        <v>261717.63410381417</v>
      </c>
      <c r="R54" s="151">
        <f>_xlfn.STDEV.S(RawData[Public high school graduates, 2022-23])</f>
        <v>82974.473820050742</v>
      </c>
      <c r="S54" s="55">
        <f>_xlfn.STDEV.S(RawData[State Support per FTE 2023])</f>
        <v>4851.5360162749712</v>
      </c>
      <c r="T54" s="60">
        <f>_xlfn.STDEV.S(RawData[Support Per $1,000 in Personal Income 2022])</f>
        <v>2.0237147596861096</v>
      </c>
      <c r="U54" s="149">
        <f>_xlfn.STDEV.S(RawData[10 Year Percentage Change in State Support per FTE])</f>
        <v>0.27594439902092704</v>
      </c>
      <c r="V54" s="149">
        <f>_xlfn.STDEV.S(RawData[Support Per $1,000 in Personal Income Percent Change since 2012])</f>
        <v>0.12607108458067195</v>
      </c>
      <c r="W54" s="149">
        <f>_xlfn.STDEV.S(RawData[ CUNY_ASAP])</f>
        <v>0.30687685123199643</v>
      </c>
      <c r="X54" s="55">
        <f>_xlfn.STDEV.S(RawData[[Total State financial aid spending per high school graduate ]])</f>
        <v>3016.4522372678634</v>
      </c>
      <c r="Y54" s="149">
        <f>_xlfn.STDEV.S(RawData[Associate Degree Premium (Over HS)])</f>
        <v>4.8775236105454471E-2</v>
      </c>
      <c r="Z54" s="150">
        <f>_xlfn.STDEV.S(RawData[High-Opp Job Openings per 1,000 working age residents])</f>
        <v>0.28009763991200426</v>
      </c>
      <c r="AA54" s="150">
        <f>_xlfn.STDEV.S(RawData[2024 Annual Unemployment Rate])</f>
        <v>0.79659735559363543</v>
      </c>
      <c r="AB54" s="149">
        <f>_xlfn.STDEV.S(RawData[2023 Attainment of Associate''s Degree or Higher (25 - 64 year olds)])</f>
        <v>5.6156490529333997E-2</v>
      </c>
      <c r="AC54" s="150">
        <f>_xlfn.STDEV.S(RawData[SCNC Under 65 Counts Per 1,000 Undergrad Enrollment])</f>
        <v>593.70374114106585</v>
      </c>
      <c r="AD54" s="156">
        <f>_xlfn.STDEV.S(RawData[Bachelor''s Degree Premium (Over HS)])</f>
        <v>0.15719411175813375</v>
      </c>
      <c r="AE54" s="156">
        <f>_xlfn.STDEV.S(RawData[2023 Attainment of Bachelor''s Degree or higher])</f>
        <v>5.8319122078440616E-2</v>
      </c>
      <c r="AF54" s="150">
        <f>_xlfn.STDEV.S(RawData[Avgerage Annual High-Opp Job Openings per 1,000 working age residents (Bachelors)])</f>
        <v>4.2185480092233902</v>
      </c>
      <c r="AG54" s="151">
        <f>_xlfn.STDEV.S(RawData[FTE undergrad enrollment at public 2-yrs, 2019])</f>
        <v>144451.9975786657</v>
      </c>
      <c r="AH54" s="151">
        <f>_xlfn.STDEV.S(RawData[FTE undergrad enrollment at public 2-yrs, 2023])</f>
        <v>123633.98633011131</v>
      </c>
      <c r="AI54" s="151">
        <f>_xlfn.STDEV.S(RawData[FTE undergrad enrollment change at public 2-yrs ('#), 2019 to 2023])</f>
        <v>23195.334770813333</v>
      </c>
      <c r="AJ54" s="149">
        <f>_xlfn.STDEV.S(RawData[FTE undergrad enrollment change at public 2-yrs (%), 2019 to 2023])</f>
        <v>0.12579602941374241</v>
      </c>
      <c r="AK54" s="149">
        <f>_xlfn.STDEV.S(RawData[5 Year Percent Change in FTE Undergraduate Enrollment at public 4 years (2019-2023)])</f>
        <v>8.0385408362158739E-2</v>
      </c>
      <c r="AL54" s="151">
        <f>_xlfn.STDEV.S(RawData[Graduation rate cohort size, public 2-yrs])</f>
        <v>18576.710109722128</v>
      </c>
      <c r="AM54" s="151">
        <f>_xlfn.STDEV.S(RawData[Retention rate cohort size (Full-time), public 2-yrs])</f>
        <v>14748.847091243419</v>
      </c>
      <c r="AN54" s="151">
        <f>_xlfn.STDEV.S(RawData[Retention rate cohort size (Part-time), public 2-yrs])</f>
        <v>11492.138691770351</v>
      </c>
      <c r="AO54" s="149">
        <f>_xlfn.STDEV.S(RawData[3-year Graduation rate, public 2-yrs (3 yr rolling avg)])</f>
        <v>8.378775306536769E-2</v>
      </c>
      <c r="AP54" s="149">
        <f>_xlfn.STDEV.S(RawData[Retention rate (Full-time), public 2-yrs (3 yr rolling avg)])</f>
        <v>4.5274868806595793E-2</v>
      </c>
      <c r="AQ54" s="149">
        <f>_xlfn.STDEV.S(RawData[Retention rate (Part-time), public 2-yrs (3 yr rolling avg)])</f>
        <v>5.8250770490771035E-2</v>
      </c>
      <c r="AR54" s="149">
        <f>_xlfn.STDEV.S(RawData[3 Year Average Grad Rate, 150% of normal time, 4 year publics])</f>
        <v>7.6263335401296928E-2</v>
      </c>
      <c r="AS54" s="149">
        <f>_xlfn.STDEV.S(RawData[3 Year Average full-time retention rate, 4 year publics])</f>
        <v>4.4047863577184827E-2</v>
      </c>
      <c r="AT54" s="149">
        <f>_xlfn.STDEV.S(RawData[3 Year Average part-time retention rate, 4 year publics])</f>
        <v>0.10755118572577711</v>
      </c>
      <c r="AU54" s="159">
        <f>_xlfn.STDEV.S(RawData[PBF])</f>
        <v>438873782.8657487</v>
      </c>
      <c r="AV54" s="159">
        <f>_xlfn.STDEV.S(RawData[General Public Operations])</f>
        <v>3354468632.3140788</v>
      </c>
      <c r="AW54" s="149">
        <f>_xlfn.STDEV.S(RawData[PBF as a % of Total Public Operating])</f>
        <v>0.26044726365016224</v>
      </c>
    </row>
  </sheetData>
  <phoneticPr fontId="22" type="noConversion"/>
  <dataValidations count="1">
    <dataValidation type="custom" allowBlank="1" showDropDown="1" sqref="L2:O51 W2:W51" xr:uid="{CB63DDEF-D896-4B60-9A8D-B792BF183737}">
      <formula1>AND(ISNUMBER(L2),(NOT(OR(NOT(ISERROR(DATEVALUE(L2))), AND(ISNUMBER(L2), LEFT(CELL("format", L2))="D")))))</formula1>
    </dataValidation>
  </dataValidations>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3BC78-CB25-4BE9-AFBE-8927741542C6}">
  <sheetPr>
    <outlinePr summaryBelow="0" summaryRight="0"/>
  </sheetPr>
  <dimension ref="A1:CQ51"/>
  <sheetViews>
    <sheetView workbookViewId="0">
      <pane xSplit="1" ySplit="1" topLeftCell="CG2" activePane="bottomRight" state="frozen"/>
      <selection pane="topRight" activeCell="B1" sqref="B1"/>
      <selection pane="bottomLeft" activeCell="A3" sqref="A3"/>
      <selection pane="bottomRight" activeCell="CJ30" sqref="CJ30"/>
    </sheetView>
  </sheetViews>
  <sheetFormatPr defaultColWidth="12.6328125" defaultRowHeight="15.75" customHeight="1" x14ac:dyDescent="0.3"/>
  <cols>
    <col min="1" max="7" width="18.6328125" style="84" customWidth="1"/>
    <col min="8" max="8" width="37.453125" style="84" customWidth="1"/>
    <col min="9" max="12" width="18.6328125" style="84" customWidth="1"/>
    <col min="13" max="13" width="22.81640625" style="84" customWidth="1"/>
    <col min="14" max="14" width="26.453125" style="84" customWidth="1"/>
    <col min="15" max="19" width="14.81640625" style="84" customWidth="1"/>
    <col min="20" max="71" width="18.6328125" style="84" customWidth="1"/>
    <col min="72" max="72" width="23.1796875" style="84" customWidth="1"/>
    <col min="73" max="73" width="22.81640625" style="84" customWidth="1"/>
    <col min="74" max="79" width="18.6328125" style="84" customWidth="1"/>
    <col min="80" max="80" width="20.1796875" style="84" customWidth="1"/>
    <col min="81" max="81" width="21.90625" style="84" customWidth="1"/>
    <col min="82" max="82" width="20.1796875" style="84" customWidth="1"/>
    <col min="83" max="95" width="18.6328125" style="84" customWidth="1"/>
    <col min="96" max="16384" width="12.6328125" style="84"/>
  </cols>
  <sheetData>
    <row r="1" spans="1:95" s="74" customFormat="1" ht="86.25" customHeight="1" x14ac:dyDescent="0.3">
      <c r="A1" s="69" t="s">
        <v>20</v>
      </c>
      <c r="B1" s="70" t="s">
        <v>22</v>
      </c>
      <c r="C1" s="70" t="s">
        <v>41</v>
      </c>
      <c r="D1" s="70" t="s">
        <v>42</v>
      </c>
      <c r="E1" s="70" t="s">
        <v>43</v>
      </c>
      <c r="F1" s="70" t="s">
        <v>232</v>
      </c>
      <c r="G1" s="71" t="s">
        <v>233</v>
      </c>
      <c r="H1" s="70" t="s">
        <v>234</v>
      </c>
      <c r="I1" s="70" t="s">
        <v>44</v>
      </c>
      <c r="J1" s="70" t="s">
        <v>45</v>
      </c>
      <c r="K1" s="70" t="s">
        <v>235</v>
      </c>
      <c r="L1" s="70" t="s">
        <v>236</v>
      </c>
      <c r="M1" s="70" t="s">
        <v>46</v>
      </c>
      <c r="N1" s="70" t="s">
        <v>47</v>
      </c>
      <c r="O1" s="72" t="s">
        <v>23</v>
      </c>
      <c r="P1" s="72" t="s">
        <v>24</v>
      </c>
      <c r="Q1" s="72" t="s">
        <v>25</v>
      </c>
      <c r="R1" s="72" t="s">
        <v>26</v>
      </c>
      <c r="S1" s="73" t="s">
        <v>32</v>
      </c>
      <c r="T1" s="70" t="s">
        <v>29</v>
      </c>
      <c r="U1" s="70" t="s">
        <v>237</v>
      </c>
      <c r="V1" s="70" t="s">
        <v>238</v>
      </c>
      <c r="W1" s="70" t="s">
        <v>239</v>
      </c>
      <c r="X1" s="70" t="s">
        <v>240</v>
      </c>
      <c r="Y1" s="70" t="s">
        <v>241</v>
      </c>
      <c r="Z1" s="70" t="s">
        <v>242</v>
      </c>
      <c r="AA1" s="70" t="s">
        <v>243</v>
      </c>
      <c r="AB1" s="70" t="s">
        <v>244</v>
      </c>
      <c r="AC1" s="70" t="s">
        <v>245</v>
      </c>
      <c r="AD1" s="70" t="s">
        <v>246</v>
      </c>
      <c r="AE1" s="70" t="s">
        <v>247</v>
      </c>
      <c r="AF1" s="70" t="s">
        <v>248</v>
      </c>
      <c r="AG1" s="70" t="s">
        <v>249</v>
      </c>
      <c r="AH1" s="70" t="s">
        <v>250</v>
      </c>
      <c r="AI1" s="70" t="s">
        <v>251</v>
      </c>
      <c r="AJ1" s="70" t="s">
        <v>252</v>
      </c>
      <c r="AK1" s="70" t="s">
        <v>253</v>
      </c>
      <c r="AL1" s="70" t="s">
        <v>254</v>
      </c>
      <c r="AM1" s="70" t="s">
        <v>255</v>
      </c>
      <c r="AN1" s="70" t="s">
        <v>256</v>
      </c>
      <c r="AO1" s="70" t="s">
        <v>257</v>
      </c>
      <c r="AP1" s="70" t="s">
        <v>258</v>
      </c>
      <c r="AQ1" s="70" t="s">
        <v>259</v>
      </c>
      <c r="AR1" s="70" t="s">
        <v>260</v>
      </c>
      <c r="AS1" s="70" t="s">
        <v>261</v>
      </c>
      <c r="AT1" s="70" t="s">
        <v>262</v>
      </c>
      <c r="AU1" s="70" t="s">
        <v>263</v>
      </c>
      <c r="AV1" s="70" t="s">
        <v>264</v>
      </c>
      <c r="AW1" s="70" t="s">
        <v>265</v>
      </c>
      <c r="AX1" s="70" t="s">
        <v>266</v>
      </c>
      <c r="AY1" s="70" t="s">
        <v>267</v>
      </c>
      <c r="AZ1" s="70" t="s">
        <v>268</v>
      </c>
      <c r="BA1" s="70" t="s">
        <v>269</v>
      </c>
      <c r="BB1" s="70" t="s">
        <v>270</v>
      </c>
      <c r="BC1" s="70" t="s">
        <v>271</v>
      </c>
      <c r="BD1" s="70" t="s">
        <v>272</v>
      </c>
      <c r="BE1" s="70" t="s">
        <v>273</v>
      </c>
      <c r="BF1" s="70" t="s">
        <v>274</v>
      </c>
      <c r="BG1" s="70" t="s">
        <v>275</v>
      </c>
      <c r="BH1" s="70" t="s">
        <v>276</v>
      </c>
      <c r="BI1" s="70" t="s">
        <v>277</v>
      </c>
      <c r="BJ1" s="70" t="s">
        <v>278</v>
      </c>
      <c r="BK1" s="70" t="s">
        <v>36</v>
      </c>
      <c r="BL1" s="70" t="s">
        <v>279</v>
      </c>
      <c r="BM1" s="73" t="s">
        <v>280</v>
      </c>
      <c r="BN1" s="70" t="s">
        <v>281</v>
      </c>
      <c r="BO1" s="70" t="s">
        <v>282</v>
      </c>
      <c r="BP1" s="73" t="s">
        <v>283</v>
      </c>
      <c r="BQ1" s="70" t="s">
        <v>284</v>
      </c>
      <c r="BR1" s="70" t="s">
        <v>285</v>
      </c>
      <c r="BS1" s="70" t="s">
        <v>286</v>
      </c>
      <c r="BT1" s="70" t="s">
        <v>287</v>
      </c>
      <c r="BU1" s="70" t="s">
        <v>288</v>
      </c>
      <c r="BV1" s="70" t="s">
        <v>289</v>
      </c>
      <c r="BW1" s="70" t="s">
        <v>290</v>
      </c>
      <c r="BX1" s="70" t="s">
        <v>37</v>
      </c>
      <c r="BY1" s="70" t="s">
        <v>291</v>
      </c>
      <c r="BZ1" s="70" t="s">
        <v>292</v>
      </c>
      <c r="CA1" s="70" t="s">
        <v>293</v>
      </c>
      <c r="CB1" s="72" t="s">
        <v>294</v>
      </c>
      <c r="CC1" s="70" t="s">
        <v>295</v>
      </c>
      <c r="CD1" s="70" t="s">
        <v>296</v>
      </c>
      <c r="CE1" s="73" t="s">
        <v>34</v>
      </c>
      <c r="CF1" s="73" t="s">
        <v>297</v>
      </c>
      <c r="CG1" s="105" t="s">
        <v>27</v>
      </c>
      <c r="CH1" s="105" t="s">
        <v>298</v>
      </c>
      <c r="CI1" s="105" t="s">
        <v>30</v>
      </c>
      <c r="CJ1" s="105" t="s">
        <v>299</v>
      </c>
      <c r="CK1" s="105" t="s">
        <v>300</v>
      </c>
      <c r="CL1" s="105" t="s">
        <v>301</v>
      </c>
      <c r="CM1" s="106" t="s">
        <v>302</v>
      </c>
      <c r="CN1" s="106" t="s">
        <v>303</v>
      </c>
      <c r="CO1" s="105" t="s">
        <v>31</v>
      </c>
      <c r="CP1" s="105" t="s">
        <v>304</v>
      </c>
      <c r="CQ1" s="107" t="s">
        <v>305</v>
      </c>
    </row>
    <row r="2" spans="1:95" ht="13" x14ac:dyDescent="0.3">
      <c r="A2" s="75" t="s">
        <v>50</v>
      </c>
      <c r="B2" s="76" t="s">
        <v>51</v>
      </c>
      <c r="C2" s="76" t="s">
        <v>52</v>
      </c>
      <c r="D2" s="77"/>
      <c r="E2" s="77"/>
      <c r="F2" s="77"/>
      <c r="G2" s="76"/>
      <c r="H2" s="77" t="s">
        <v>308</v>
      </c>
      <c r="I2" s="76" t="s">
        <v>60</v>
      </c>
      <c r="J2" s="76" t="s">
        <v>53</v>
      </c>
      <c r="K2" s="76" t="s">
        <v>307</v>
      </c>
      <c r="L2" s="76" t="s">
        <v>307</v>
      </c>
      <c r="M2" s="76" t="s">
        <v>53</v>
      </c>
      <c r="N2" s="76" t="s">
        <v>53</v>
      </c>
      <c r="O2" s="78">
        <v>47033422</v>
      </c>
      <c r="P2" s="78">
        <v>10252777</v>
      </c>
      <c r="Q2" s="78">
        <v>166027</v>
      </c>
      <c r="R2" s="78">
        <v>57452226</v>
      </c>
      <c r="S2" s="79">
        <f t="shared" ref="S2:S40" si="0">O2/R2</f>
        <v>0.818652735927064</v>
      </c>
      <c r="T2" s="80">
        <v>47656</v>
      </c>
      <c r="U2" s="76">
        <v>23</v>
      </c>
      <c r="V2" s="76">
        <v>15</v>
      </c>
      <c r="W2" s="76">
        <v>52077</v>
      </c>
      <c r="X2" s="76">
        <v>33792</v>
      </c>
      <c r="Y2" s="131">
        <v>0.64900000000000002</v>
      </c>
      <c r="Z2" s="76">
        <v>14</v>
      </c>
      <c r="AA2" s="76">
        <v>2</v>
      </c>
      <c r="AB2" s="76">
        <v>121544</v>
      </c>
      <c r="AC2" s="76">
        <v>7910</v>
      </c>
      <c r="AD2" s="108">
        <v>6.5000000000000002E-2</v>
      </c>
      <c r="AE2" s="109">
        <v>-4.5199999999999997E-2</v>
      </c>
      <c r="AF2" s="109">
        <v>5.8999999999999997E-2</v>
      </c>
      <c r="AG2" s="109">
        <v>-2.0999999999999999E-3</v>
      </c>
      <c r="AH2" s="109">
        <v>-0.1111</v>
      </c>
      <c r="AI2" s="109">
        <v>5.0599999999999999E-2</v>
      </c>
      <c r="AJ2" s="109">
        <v>0.2155</v>
      </c>
      <c r="AK2" s="109">
        <v>-5.5500000000000001E-2</v>
      </c>
      <c r="AL2" s="109">
        <v>-0.24429999999999999</v>
      </c>
      <c r="AM2" s="109">
        <v>-0.19339999999999999</v>
      </c>
      <c r="AN2" s="109">
        <v>-0.32719999999999999</v>
      </c>
      <c r="AO2" s="109">
        <v>0.1026</v>
      </c>
      <c r="AP2" s="109">
        <v>0.22359999999999999</v>
      </c>
      <c r="AQ2" s="109">
        <v>0.2437</v>
      </c>
      <c r="AR2" s="109">
        <v>1.1934</v>
      </c>
      <c r="AS2" s="109">
        <v>0.14860000000000001</v>
      </c>
      <c r="AT2" s="109">
        <v>0.18090000000000001</v>
      </c>
      <c r="AU2" s="110">
        <v>-5454</v>
      </c>
      <c r="AV2" s="111">
        <v>-9.1999999999999998E-2</v>
      </c>
      <c r="AW2" s="110">
        <v>-6610</v>
      </c>
      <c r="AX2" s="111">
        <v>-5.1999999999999998E-2</v>
      </c>
      <c r="AY2" s="110">
        <v>12448</v>
      </c>
      <c r="AZ2" s="111">
        <v>0.29899999999999999</v>
      </c>
      <c r="BA2" s="110">
        <v>24968</v>
      </c>
      <c r="BB2" s="111">
        <v>0.61399999999999999</v>
      </c>
      <c r="BC2" s="110">
        <v>11519</v>
      </c>
      <c r="BD2" s="111">
        <v>0.60799999999999998</v>
      </c>
      <c r="BE2" s="110">
        <v>24757</v>
      </c>
      <c r="BF2" s="111">
        <v>0.80700000000000005</v>
      </c>
      <c r="BG2" s="110">
        <v>4030</v>
      </c>
      <c r="BH2" s="111">
        <v>0.40899999999999997</v>
      </c>
      <c r="BI2" s="110">
        <v>591</v>
      </c>
      <c r="BJ2" s="111">
        <v>0.38200000000000001</v>
      </c>
      <c r="BK2" s="81">
        <v>2.5</v>
      </c>
      <c r="BL2" s="81">
        <v>3.1</v>
      </c>
      <c r="BM2" s="82">
        <f t="shared" ref="BM2:BM33" si="1">(BL2-BK2)/BK2</f>
        <v>0.24000000000000005</v>
      </c>
      <c r="BN2" s="81">
        <v>5.4</v>
      </c>
      <c r="BO2" s="81">
        <v>5.8</v>
      </c>
      <c r="BP2" s="82">
        <f t="shared" ref="BP2:BP33" si="2">(BN2-BO2)/BO2</f>
        <v>-6.8965517241379226E-2</v>
      </c>
      <c r="BQ2" s="80">
        <v>2566</v>
      </c>
      <c r="BR2" s="112">
        <v>11</v>
      </c>
      <c r="BS2" s="76"/>
      <c r="BT2" s="112">
        <v>2090</v>
      </c>
      <c r="BU2" s="76"/>
      <c r="BV2" s="83">
        <f t="shared" ref="BV2:BV11" si="3">BT2/BQ2</f>
        <v>0.81449727201870614</v>
      </c>
      <c r="BW2" s="76"/>
      <c r="BX2" s="108">
        <v>0.38300000000000001</v>
      </c>
      <c r="BY2" s="108">
        <v>0.32800000000000001</v>
      </c>
      <c r="BZ2" s="113">
        <f t="shared" ref="BZ2:BZ33" si="4">(BX2-BY2)/BY2</f>
        <v>0.16768292682926828</v>
      </c>
      <c r="CA2" s="108">
        <v>1.2E-2</v>
      </c>
      <c r="CB2" s="114">
        <v>31000</v>
      </c>
      <c r="CC2" s="114">
        <v>41296</v>
      </c>
      <c r="CD2" s="114">
        <v>55000</v>
      </c>
      <c r="CE2" s="108">
        <f t="shared" ref="CE2:CE33" si="5">(CC2-CB2)/CB2</f>
        <v>0.3321290322580645</v>
      </c>
      <c r="CF2" s="108">
        <f t="shared" ref="CF2:CF33" si="6">(CD2-CB2)/CB2</f>
        <v>0.77419354838709675</v>
      </c>
      <c r="CG2" s="78">
        <v>3053449272</v>
      </c>
      <c r="CH2" s="115">
        <v>208913</v>
      </c>
      <c r="CI2" s="116">
        <f t="shared" ref="CI2:CI33" si="7">CG2/CH2</f>
        <v>14615.889255335953</v>
      </c>
      <c r="CJ2" s="78">
        <v>1447160469</v>
      </c>
      <c r="CK2" s="115">
        <v>203016</v>
      </c>
      <c r="CL2" s="116">
        <f t="shared" ref="CL2:CL33" si="8">CJ2/CK2</f>
        <v>7128.3074683768764</v>
      </c>
      <c r="CM2" s="108">
        <f t="shared" ref="CM2:CM33" si="9">(CG2-CJ2) / CJ2</f>
        <v>1.1099590110486912</v>
      </c>
      <c r="CN2" s="108">
        <f t="shared" ref="CN2:CN33" si="10">(CI2-CL2) / CL2</f>
        <v>1.050401069282721</v>
      </c>
      <c r="CO2" s="117">
        <v>8.09</v>
      </c>
      <c r="CP2" s="82">
        <v>-0.02</v>
      </c>
      <c r="CQ2" s="118">
        <v>-9.6000000000000002E-2</v>
      </c>
    </row>
    <row r="3" spans="1:95" ht="13" x14ac:dyDescent="0.3">
      <c r="A3" s="85" t="s">
        <v>54</v>
      </c>
      <c r="B3" s="86" t="s">
        <v>55</v>
      </c>
      <c r="C3" s="86" t="s">
        <v>52</v>
      </c>
      <c r="D3" s="87"/>
      <c r="E3" s="87"/>
      <c r="F3" s="87"/>
      <c r="G3" s="86"/>
      <c r="H3" s="87" t="s">
        <v>306</v>
      </c>
      <c r="I3" s="86" t="s">
        <v>53</v>
      </c>
      <c r="J3" s="86" t="s">
        <v>53</v>
      </c>
      <c r="K3" s="86" t="s">
        <v>307</v>
      </c>
      <c r="L3" s="86" t="s">
        <v>307</v>
      </c>
      <c r="M3" s="86" t="s">
        <v>53</v>
      </c>
      <c r="N3" s="86" t="s">
        <v>53</v>
      </c>
      <c r="O3" s="88">
        <v>5726501</v>
      </c>
      <c r="P3" s="88">
        <v>7822721</v>
      </c>
      <c r="Q3" s="88">
        <v>6512127</v>
      </c>
      <c r="R3" s="88">
        <v>20061349</v>
      </c>
      <c r="S3" s="89">
        <f t="shared" si="0"/>
        <v>0.28544944809045492</v>
      </c>
      <c r="T3" s="90">
        <v>8058</v>
      </c>
      <c r="U3" s="86">
        <v>0</v>
      </c>
      <c r="V3" s="86">
        <v>0</v>
      </c>
      <c r="W3" s="86"/>
      <c r="X3" s="86"/>
      <c r="Y3" s="86"/>
      <c r="Z3" s="86">
        <v>4</v>
      </c>
      <c r="AA3" s="86">
        <v>1</v>
      </c>
      <c r="AB3" s="86">
        <v>11126</v>
      </c>
      <c r="AC3" s="86">
        <v>6334</v>
      </c>
      <c r="AD3" s="120">
        <v>0.56899999999999995</v>
      </c>
      <c r="AE3" s="121">
        <v>-0.32229999999999998</v>
      </c>
      <c r="AF3" s="121">
        <v>-0.44679999999999997</v>
      </c>
      <c r="AG3" s="121">
        <v>-0.15629999999999999</v>
      </c>
      <c r="AH3" s="121">
        <v>-0.28899999999999998</v>
      </c>
      <c r="AI3" s="121">
        <v>-0.1071</v>
      </c>
      <c r="AJ3" s="121">
        <v>2.5000000000000001E-2</v>
      </c>
      <c r="AK3" s="121">
        <v>0.28710000000000002</v>
      </c>
      <c r="AL3" s="121">
        <v>-6.4000000000000003E-3</v>
      </c>
      <c r="AM3" s="86"/>
      <c r="AN3" s="86"/>
      <c r="AO3" s="120"/>
      <c r="AP3" s="120"/>
      <c r="AQ3" s="86"/>
      <c r="AR3" s="86"/>
      <c r="AS3" s="86"/>
      <c r="AT3" s="86"/>
      <c r="AU3" s="86"/>
      <c r="AV3" s="86"/>
      <c r="AW3" s="122">
        <v>-4292</v>
      </c>
      <c r="AX3" s="123">
        <v>-0.28599999999999998</v>
      </c>
      <c r="AY3" s="86"/>
      <c r="AZ3" s="86"/>
      <c r="BA3" s="122">
        <v>1457</v>
      </c>
      <c r="BB3" s="123">
        <v>0.36099999999999999</v>
      </c>
      <c r="BC3" s="86"/>
      <c r="BD3" s="86"/>
      <c r="BE3" s="122">
        <v>1055</v>
      </c>
      <c r="BF3" s="123">
        <v>0.69</v>
      </c>
      <c r="BG3" s="86"/>
      <c r="BH3" s="86"/>
      <c r="BI3" s="122">
        <v>231</v>
      </c>
      <c r="BJ3" s="123">
        <v>0.441</v>
      </c>
      <c r="BK3" s="91">
        <v>4.2</v>
      </c>
      <c r="BL3" s="91">
        <v>4.5999999999999996</v>
      </c>
      <c r="BM3" s="92">
        <f t="shared" si="1"/>
        <v>9.5238095238095108E-2</v>
      </c>
      <c r="BN3" s="91">
        <v>6</v>
      </c>
      <c r="BO3" s="91">
        <v>7.2</v>
      </c>
      <c r="BP3" s="92">
        <f t="shared" si="2"/>
        <v>-0.16666666666666669</v>
      </c>
      <c r="BQ3" s="86">
        <v>391</v>
      </c>
      <c r="BR3" s="124">
        <v>13</v>
      </c>
      <c r="BS3" s="86"/>
      <c r="BT3" s="124">
        <v>440</v>
      </c>
      <c r="BU3" s="86"/>
      <c r="BV3" s="93">
        <f t="shared" si="3"/>
        <v>1.1253196930946292</v>
      </c>
      <c r="BW3" s="86"/>
      <c r="BX3" s="120">
        <v>0.40400000000000003</v>
      </c>
      <c r="BY3" s="120">
        <v>0.37</v>
      </c>
      <c r="BZ3" s="125">
        <f t="shared" si="4"/>
        <v>9.189189189189198E-2</v>
      </c>
      <c r="CA3" s="120">
        <v>2E-3</v>
      </c>
      <c r="CB3" s="126">
        <v>37756</v>
      </c>
      <c r="CC3" s="126">
        <v>52063</v>
      </c>
      <c r="CD3" s="126">
        <v>65599</v>
      </c>
      <c r="CE3" s="120">
        <f t="shared" si="5"/>
        <v>0.37893314969806124</v>
      </c>
      <c r="CF3" s="120">
        <f t="shared" si="6"/>
        <v>0.73744570399406717</v>
      </c>
      <c r="CG3" s="88">
        <v>320672930</v>
      </c>
      <c r="CH3" s="127">
        <v>12075</v>
      </c>
      <c r="CI3" s="128">
        <f t="shared" si="7"/>
        <v>26556.764389233955</v>
      </c>
      <c r="CJ3" s="88">
        <v>400070957</v>
      </c>
      <c r="CK3" s="127">
        <v>20484</v>
      </c>
      <c r="CL3" s="128">
        <f t="shared" si="8"/>
        <v>19530.900068346025</v>
      </c>
      <c r="CM3" s="120">
        <f t="shared" si="9"/>
        <v>-0.19845986220889311</v>
      </c>
      <c r="CN3" s="120">
        <f t="shared" si="10"/>
        <v>0.35973069834476473</v>
      </c>
      <c r="CO3" s="129">
        <v>6.31</v>
      </c>
      <c r="CP3" s="92">
        <v>-0.26500000000000001</v>
      </c>
      <c r="CQ3" s="130">
        <v>-0.35299999999999998</v>
      </c>
    </row>
    <row r="4" spans="1:95" ht="13" x14ac:dyDescent="0.3">
      <c r="A4" s="75" t="s">
        <v>56</v>
      </c>
      <c r="B4" s="76" t="s">
        <v>57</v>
      </c>
      <c r="C4" s="76" t="s">
        <v>52</v>
      </c>
      <c r="D4" s="77" t="s">
        <v>58</v>
      </c>
      <c r="E4" s="77" t="s">
        <v>59</v>
      </c>
      <c r="F4" s="77" t="s">
        <v>309</v>
      </c>
      <c r="G4" s="76"/>
      <c r="H4" s="77" t="s">
        <v>310</v>
      </c>
      <c r="I4" s="76" t="s">
        <v>53</v>
      </c>
      <c r="J4" s="76" t="s">
        <v>53</v>
      </c>
      <c r="K4" s="76" t="s">
        <v>311</v>
      </c>
      <c r="L4" s="76" t="s">
        <v>307</v>
      </c>
      <c r="M4" s="76" t="s">
        <v>53</v>
      </c>
      <c r="N4" s="76" t="s">
        <v>53</v>
      </c>
      <c r="O4" s="78">
        <v>77721073</v>
      </c>
      <c r="P4" s="78"/>
      <c r="Q4" s="78">
        <v>382749</v>
      </c>
      <c r="R4" s="78">
        <v>78103822</v>
      </c>
      <c r="S4" s="79">
        <f t="shared" si="0"/>
        <v>0.99509948437606544</v>
      </c>
      <c r="T4" s="80">
        <v>78847</v>
      </c>
      <c r="U4" s="76">
        <v>20</v>
      </c>
      <c r="V4" s="76">
        <v>18</v>
      </c>
      <c r="W4" s="76">
        <v>90992</v>
      </c>
      <c r="X4" s="76">
        <v>84841</v>
      </c>
      <c r="Y4" s="131">
        <v>0.93200000000000005</v>
      </c>
      <c r="Z4" s="76">
        <v>5</v>
      </c>
      <c r="AA4" s="76">
        <v>0</v>
      </c>
      <c r="AB4" s="76">
        <v>160197</v>
      </c>
      <c r="AC4" s="76">
        <v>0</v>
      </c>
      <c r="AD4" s="108">
        <v>0</v>
      </c>
      <c r="AE4" s="109">
        <v>0.25509999999999999</v>
      </c>
      <c r="AF4" s="109">
        <v>0.47820000000000001</v>
      </c>
      <c r="AG4" s="109">
        <v>0.43140000000000001</v>
      </c>
      <c r="AH4" s="109">
        <v>2.0964999999999998</v>
      </c>
      <c r="AI4" s="109">
        <v>4.6199999999999998E-2</v>
      </c>
      <c r="AJ4" s="109">
        <v>9.35E-2</v>
      </c>
      <c r="AK4" s="109">
        <v>-0.1636</v>
      </c>
      <c r="AL4" s="109">
        <v>-0.3463</v>
      </c>
      <c r="AM4" s="109">
        <v>-0.2399</v>
      </c>
      <c r="AN4" s="109">
        <v>-0.4224</v>
      </c>
      <c r="AO4" s="109">
        <v>-0.1008</v>
      </c>
      <c r="AP4" s="109">
        <v>-0.19470000000000001</v>
      </c>
      <c r="AQ4" s="109">
        <v>3.8399999999999997E-2</v>
      </c>
      <c r="AR4" s="109">
        <v>0.40210000000000001</v>
      </c>
      <c r="AS4" s="109">
        <v>-0.10730000000000001</v>
      </c>
      <c r="AT4" s="109">
        <v>-3.3500000000000002E-2</v>
      </c>
      <c r="AU4" s="110">
        <v>-16353</v>
      </c>
      <c r="AV4" s="111">
        <v>-0.152</v>
      </c>
      <c r="AW4" s="110">
        <v>36286</v>
      </c>
      <c r="AX4" s="111">
        <v>0.28199999999999997</v>
      </c>
      <c r="AY4" s="110">
        <v>10821</v>
      </c>
      <c r="AZ4" s="111">
        <v>0.19900000000000001</v>
      </c>
      <c r="BA4" s="110">
        <v>22721</v>
      </c>
      <c r="BB4" s="111">
        <v>0.64300000000000002</v>
      </c>
      <c r="BC4" s="110">
        <v>9278</v>
      </c>
      <c r="BD4" s="111">
        <v>0.61399999999999999</v>
      </c>
      <c r="BE4" s="110">
        <v>23807</v>
      </c>
      <c r="BF4" s="111">
        <v>0.83599999999999997</v>
      </c>
      <c r="BG4" s="110">
        <v>9618</v>
      </c>
      <c r="BH4" s="111">
        <v>0.40500000000000003</v>
      </c>
      <c r="BI4" s="110">
        <v>5027</v>
      </c>
      <c r="BJ4" s="111">
        <v>0.55800000000000005</v>
      </c>
      <c r="BK4" s="81">
        <v>3.7</v>
      </c>
      <c r="BL4" s="81">
        <v>3.6</v>
      </c>
      <c r="BM4" s="82">
        <f t="shared" si="1"/>
        <v>-2.7027027027027049E-2</v>
      </c>
      <c r="BN4" s="81">
        <v>5</v>
      </c>
      <c r="BO4" s="81">
        <v>4.9000000000000004</v>
      </c>
      <c r="BP4" s="82">
        <f t="shared" si="2"/>
        <v>2.0408163265306048E-2</v>
      </c>
      <c r="BQ4" s="80">
        <v>3639</v>
      </c>
      <c r="BR4" s="112">
        <v>11</v>
      </c>
      <c r="BS4" s="76"/>
      <c r="BT4" s="112">
        <v>3210</v>
      </c>
      <c r="BU4" s="76"/>
      <c r="BV4" s="83">
        <f t="shared" si="3"/>
        <v>0.88211046990931574</v>
      </c>
      <c r="BW4" s="76"/>
      <c r="BX4" s="108">
        <v>0.42099999999999999</v>
      </c>
      <c r="BY4" s="108">
        <v>0.36399999999999999</v>
      </c>
      <c r="BZ4" s="113">
        <f t="shared" si="4"/>
        <v>0.15659340659340659</v>
      </c>
      <c r="CA4" s="108">
        <v>1.9E-2</v>
      </c>
      <c r="CB4" s="114">
        <v>35403</v>
      </c>
      <c r="CC4" s="114">
        <v>46856</v>
      </c>
      <c r="CD4" s="114">
        <v>61903</v>
      </c>
      <c r="CE4" s="108">
        <f t="shared" si="5"/>
        <v>0.32350365788210039</v>
      </c>
      <c r="CF4" s="108">
        <f t="shared" si="6"/>
        <v>0.74852413637262383</v>
      </c>
      <c r="CG4" s="78">
        <v>2390726700</v>
      </c>
      <c r="CH4" s="115">
        <v>305911</v>
      </c>
      <c r="CI4" s="116">
        <f t="shared" si="7"/>
        <v>7815.1053737851862</v>
      </c>
      <c r="CJ4" s="78">
        <v>1694386262</v>
      </c>
      <c r="CK4" s="115">
        <v>270846</v>
      </c>
      <c r="CL4" s="116">
        <f t="shared" si="8"/>
        <v>6255.9028451592421</v>
      </c>
      <c r="CM4" s="108">
        <f t="shared" si="9"/>
        <v>0.41096912411108771</v>
      </c>
      <c r="CN4" s="108">
        <f t="shared" si="10"/>
        <v>0.24923701138236826</v>
      </c>
      <c r="CO4" s="117">
        <v>5.34</v>
      </c>
      <c r="CP4" s="82">
        <v>-0.14399999999999999</v>
      </c>
      <c r="CQ4" s="118">
        <v>-0.23899999999999999</v>
      </c>
    </row>
    <row r="5" spans="1:95" ht="13" x14ac:dyDescent="0.3">
      <c r="A5" s="85" t="s">
        <v>61</v>
      </c>
      <c r="B5" s="86" t="s">
        <v>62</v>
      </c>
      <c r="C5" s="86" t="s">
        <v>52</v>
      </c>
      <c r="D5" s="87"/>
      <c r="E5" s="87"/>
      <c r="F5" s="87"/>
      <c r="G5" s="86"/>
      <c r="H5" s="87" t="s">
        <v>308</v>
      </c>
      <c r="I5" s="86" t="s">
        <v>60</v>
      </c>
      <c r="J5" s="86" t="s">
        <v>60</v>
      </c>
      <c r="K5" s="86" t="s">
        <v>307</v>
      </c>
      <c r="L5" s="86" t="s">
        <v>307</v>
      </c>
      <c r="M5" s="86" t="s">
        <v>60</v>
      </c>
      <c r="N5" s="86" t="s">
        <v>60</v>
      </c>
      <c r="O5" s="88">
        <v>175000</v>
      </c>
      <c r="P5" s="88">
        <v>101909564</v>
      </c>
      <c r="Q5" s="88">
        <v>3296294</v>
      </c>
      <c r="R5" s="88">
        <v>105380858</v>
      </c>
      <c r="S5" s="89">
        <f t="shared" si="0"/>
        <v>1.6606431502009596E-3</v>
      </c>
      <c r="T5" s="90">
        <v>31709</v>
      </c>
      <c r="U5" s="86">
        <v>22</v>
      </c>
      <c r="V5" s="86">
        <v>9</v>
      </c>
      <c r="W5" s="86">
        <v>27060</v>
      </c>
      <c r="X5" s="86">
        <v>14741</v>
      </c>
      <c r="Y5" s="119">
        <v>0.54500000000000004</v>
      </c>
      <c r="Z5" s="86">
        <v>12</v>
      </c>
      <c r="AA5" s="86">
        <v>1</v>
      </c>
      <c r="AB5" s="86">
        <v>67793</v>
      </c>
      <c r="AC5" s="86">
        <v>3724</v>
      </c>
      <c r="AD5" s="120">
        <v>5.5E-2</v>
      </c>
      <c r="AE5" s="121">
        <v>-0.1158</v>
      </c>
      <c r="AF5" s="121">
        <v>-0.18690000000000001</v>
      </c>
      <c r="AG5" s="121">
        <v>-8.8499999999999995E-2</v>
      </c>
      <c r="AH5" s="121">
        <v>-2.81E-2</v>
      </c>
      <c r="AI5" s="121">
        <v>0.12230000000000001</v>
      </c>
      <c r="AJ5" s="121">
        <v>0.2994</v>
      </c>
      <c r="AK5" s="121">
        <v>-0.17480000000000001</v>
      </c>
      <c r="AL5" s="121">
        <v>-0.11269999999999999</v>
      </c>
      <c r="AM5" s="121">
        <v>-0.1993</v>
      </c>
      <c r="AN5" s="121">
        <v>-0.4249</v>
      </c>
      <c r="AO5" s="121">
        <v>-2.7199999999999998E-2</v>
      </c>
      <c r="AP5" s="121">
        <v>-0.16439999999999999</v>
      </c>
      <c r="AQ5" s="121">
        <v>0.18790000000000001</v>
      </c>
      <c r="AR5" s="121">
        <v>0.7621</v>
      </c>
      <c r="AS5" s="121">
        <v>-0.1497</v>
      </c>
      <c r="AT5" s="121">
        <v>-8.5800000000000001E-2</v>
      </c>
      <c r="AU5" s="122">
        <v>-4218</v>
      </c>
      <c r="AV5" s="123">
        <v>-0.13700000000000001</v>
      </c>
      <c r="AW5" s="122">
        <v>-7282</v>
      </c>
      <c r="AX5" s="123">
        <v>-9.7000000000000003E-2</v>
      </c>
      <c r="AY5" s="122">
        <v>6222</v>
      </c>
      <c r="AZ5" s="123">
        <v>0.35699999999999998</v>
      </c>
      <c r="BA5" s="122">
        <v>14174</v>
      </c>
      <c r="BB5" s="123">
        <v>0.54300000000000004</v>
      </c>
      <c r="BC5" s="122">
        <v>5924</v>
      </c>
      <c r="BD5" s="123">
        <v>0.57399999999999995</v>
      </c>
      <c r="BE5" s="122">
        <v>12780</v>
      </c>
      <c r="BF5" s="123">
        <v>0.76200000000000001</v>
      </c>
      <c r="BG5" s="122">
        <v>1894</v>
      </c>
      <c r="BH5" s="123">
        <v>0.38700000000000001</v>
      </c>
      <c r="BI5" s="122">
        <v>317</v>
      </c>
      <c r="BJ5" s="123">
        <v>0.36399999999999999</v>
      </c>
      <c r="BK5" s="91">
        <v>3.1</v>
      </c>
      <c r="BL5" s="91">
        <v>3.5</v>
      </c>
      <c r="BM5" s="92">
        <f t="shared" si="1"/>
        <v>0.1290322580645161</v>
      </c>
      <c r="BN5" s="91">
        <v>5.7</v>
      </c>
      <c r="BO5" s="91">
        <v>5.9</v>
      </c>
      <c r="BP5" s="92">
        <f t="shared" si="2"/>
        <v>-3.389830508474579E-2</v>
      </c>
      <c r="BQ5" s="90">
        <v>1518</v>
      </c>
      <c r="BR5" s="124">
        <v>9</v>
      </c>
      <c r="BS5" s="86"/>
      <c r="BT5" s="124">
        <v>1120</v>
      </c>
      <c r="BU5" s="86"/>
      <c r="BV5" s="93">
        <f t="shared" si="3"/>
        <v>0.7378129117259552</v>
      </c>
      <c r="BW5" s="86"/>
      <c r="BX5" s="120">
        <v>0.34599999999999997</v>
      </c>
      <c r="BY5" s="120">
        <v>0.28999999999999998</v>
      </c>
      <c r="BZ5" s="125">
        <f t="shared" si="4"/>
        <v>0.19310344827586207</v>
      </c>
      <c r="CA5" s="120">
        <v>8.0000000000000002E-3</v>
      </c>
      <c r="CB5" s="126">
        <v>31238</v>
      </c>
      <c r="CC5" s="126">
        <v>39393</v>
      </c>
      <c r="CD5" s="126">
        <v>53104</v>
      </c>
      <c r="CE5" s="120">
        <f t="shared" si="5"/>
        <v>0.26106024713489978</v>
      </c>
      <c r="CF5" s="120">
        <f t="shared" si="6"/>
        <v>0.69998079262436774</v>
      </c>
      <c r="CG5" s="88">
        <v>1119683135</v>
      </c>
      <c r="CH5" s="127">
        <v>106833</v>
      </c>
      <c r="CI5" s="128">
        <f t="shared" si="7"/>
        <v>10480.686070783373</v>
      </c>
      <c r="CJ5" s="88">
        <v>1033798528</v>
      </c>
      <c r="CK5" s="127">
        <v>123902</v>
      </c>
      <c r="CL5" s="128">
        <f t="shared" si="8"/>
        <v>8343.6791012251615</v>
      </c>
      <c r="CM5" s="120">
        <f t="shared" si="9"/>
        <v>8.3076735624835404E-2</v>
      </c>
      <c r="CN5" s="120">
        <f t="shared" si="10"/>
        <v>0.2561228618253571</v>
      </c>
      <c r="CO5" s="129">
        <v>7.32</v>
      </c>
      <c r="CP5" s="92">
        <v>-0.13400000000000001</v>
      </c>
      <c r="CQ5" s="130">
        <v>-0.307</v>
      </c>
    </row>
    <row r="6" spans="1:95" ht="13" x14ac:dyDescent="0.3">
      <c r="A6" s="75" t="s">
        <v>2</v>
      </c>
      <c r="B6" s="76" t="s">
        <v>63</v>
      </c>
      <c r="C6" s="76" t="s">
        <v>64</v>
      </c>
      <c r="D6" s="77" t="s">
        <v>65</v>
      </c>
      <c r="E6" s="77" t="s">
        <v>66</v>
      </c>
      <c r="F6" s="77" t="s">
        <v>312</v>
      </c>
      <c r="G6" s="76"/>
      <c r="H6" s="77" t="s">
        <v>313</v>
      </c>
      <c r="I6" s="76" t="s">
        <v>60</v>
      </c>
      <c r="J6" s="76" t="s">
        <v>53</v>
      </c>
      <c r="K6" s="76" t="s">
        <v>311</v>
      </c>
      <c r="L6" s="76" t="s">
        <v>311</v>
      </c>
      <c r="M6" s="76" t="s">
        <v>60</v>
      </c>
      <c r="N6" s="76" t="s">
        <v>53</v>
      </c>
      <c r="O6" s="78">
        <v>2796732812</v>
      </c>
      <c r="P6" s="78">
        <v>1687374</v>
      </c>
      <c r="Q6" s="78"/>
      <c r="R6" s="78">
        <v>2798420186</v>
      </c>
      <c r="S6" s="79">
        <f t="shared" si="0"/>
        <v>0.99939702621913551</v>
      </c>
      <c r="T6" s="80">
        <v>440659</v>
      </c>
      <c r="U6" s="76">
        <v>117</v>
      </c>
      <c r="V6" s="76">
        <v>61</v>
      </c>
      <c r="W6" s="76">
        <v>778030</v>
      </c>
      <c r="X6" s="76">
        <v>383211</v>
      </c>
      <c r="Y6" s="131">
        <v>0.49299999999999999</v>
      </c>
      <c r="Z6" s="76">
        <v>34</v>
      </c>
      <c r="AA6" s="76">
        <v>0</v>
      </c>
      <c r="AB6" s="76">
        <v>619471</v>
      </c>
      <c r="AC6" s="76">
        <v>0</v>
      </c>
      <c r="AD6" s="108">
        <v>0</v>
      </c>
      <c r="AE6" s="109">
        <v>-4.5699999999999998E-2</v>
      </c>
      <c r="AF6" s="109">
        <v>8.3199999999999996E-2</v>
      </c>
      <c r="AG6" s="109">
        <v>0.19409999999999999</v>
      </c>
      <c r="AH6" s="109">
        <v>0.29859999999999998</v>
      </c>
      <c r="AI6" s="109">
        <v>8.0999999999999996E-3</v>
      </c>
      <c r="AJ6" s="109">
        <v>8.6699999999999999E-2</v>
      </c>
      <c r="AK6" s="109">
        <v>-2.53E-2</v>
      </c>
      <c r="AL6" s="109">
        <v>-0.2596</v>
      </c>
      <c r="AM6" s="109">
        <v>-0.19919999999999999</v>
      </c>
      <c r="AN6" s="109">
        <v>-0.23219999999999999</v>
      </c>
      <c r="AO6" s="109">
        <v>-0.1426</v>
      </c>
      <c r="AP6" s="109">
        <v>-0.1203</v>
      </c>
      <c r="AQ6" s="109">
        <v>0.17449999999999999</v>
      </c>
      <c r="AR6" s="109">
        <v>0.37030000000000002</v>
      </c>
      <c r="AS6" s="109">
        <v>7.0000000000000001E-3</v>
      </c>
      <c r="AT6" s="109">
        <v>-0.1381</v>
      </c>
      <c r="AU6" s="110">
        <v>-151676</v>
      </c>
      <c r="AV6" s="111">
        <v>-0.16600000000000001</v>
      </c>
      <c r="AW6" s="110">
        <v>-17405</v>
      </c>
      <c r="AX6" s="111">
        <v>-2.8000000000000001E-2</v>
      </c>
      <c r="AY6" s="110">
        <v>110906</v>
      </c>
      <c r="AZ6" s="111">
        <v>0.35899999999999999</v>
      </c>
      <c r="BA6" s="110">
        <v>108060</v>
      </c>
      <c r="BB6" s="111">
        <v>0.72099999999999997</v>
      </c>
      <c r="BC6" s="110">
        <v>90583</v>
      </c>
      <c r="BD6" s="111">
        <v>0.69299999999999995</v>
      </c>
      <c r="BE6" s="110">
        <v>108736</v>
      </c>
      <c r="BF6" s="111">
        <v>0.874</v>
      </c>
      <c r="BG6" s="110">
        <v>73176</v>
      </c>
      <c r="BH6" s="111">
        <v>0.38300000000000001</v>
      </c>
      <c r="BI6" s="110">
        <v>2181</v>
      </c>
      <c r="BJ6" s="111">
        <v>0.53600000000000003</v>
      </c>
      <c r="BK6" s="81">
        <v>4.7</v>
      </c>
      <c r="BL6" s="81">
        <v>5.3</v>
      </c>
      <c r="BM6" s="82">
        <f t="shared" si="1"/>
        <v>0.12765957446808501</v>
      </c>
      <c r="BN6" s="81">
        <v>3.4</v>
      </c>
      <c r="BO6" s="81">
        <v>4.7</v>
      </c>
      <c r="BP6" s="82">
        <f t="shared" si="2"/>
        <v>-0.27659574468085113</v>
      </c>
      <c r="BQ6" s="80">
        <v>20933</v>
      </c>
      <c r="BR6" s="112">
        <v>10</v>
      </c>
      <c r="BS6" s="76"/>
      <c r="BT6" s="112">
        <v>23080</v>
      </c>
      <c r="BU6" s="76"/>
      <c r="BV6" s="83">
        <f t="shared" si="3"/>
        <v>1.1025653274733673</v>
      </c>
      <c r="BW6" s="76"/>
      <c r="BX6" s="108">
        <v>0.45100000000000001</v>
      </c>
      <c r="BY6" s="108">
        <v>0.39500000000000002</v>
      </c>
      <c r="BZ6" s="113">
        <f t="shared" si="4"/>
        <v>0.14177215189873416</v>
      </c>
      <c r="CA6" s="108">
        <v>0.158</v>
      </c>
      <c r="CB6" s="114">
        <v>35403</v>
      </c>
      <c r="CC6" s="114">
        <v>47195</v>
      </c>
      <c r="CD6" s="114">
        <v>74970</v>
      </c>
      <c r="CE6" s="108">
        <f t="shared" si="5"/>
        <v>0.3330791175889049</v>
      </c>
      <c r="CF6" s="108">
        <f t="shared" si="6"/>
        <v>1.1176171510888908</v>
      </c>
      <c r="CG6" s="78">
        <v>24258776422</v>
      </c>
      <c r="CH6" s="115">
        <v>1565065</v>
      </c>
      <c r="CI6" s="116">
        <f t="shared" si="7"/>
        <v>15500.171828007144</v>
      </c>
      <c r="CJ6" s="78">
        <v>12885494955</v>
      </c>
      <c r="CK6" s="115">
        <v>1546721</v>
      </c>
      <c r="CL6" s="116">
        <f t="shared" si="8"/>
        <v>8330.8463226399581</v>
      </c>
      <c r="CM6" s="108">
        <f t="shared" si="9"/>
        <v>0.88264218850101595</v>
      </c>
      <c r="CN6" s="108">
        <f t="shared" si="10"/>
        <v>0.86057589201757134</v>
      </c>
      <c r="CO6" s="117">
        <v>7.63</v>
      </c>
      <c r="CP6" s="82">
        <v>2.8000000000000001E-2</v>
      </c>
      <c r="CQ6" s="118">
        <v>0.14000000000000001</v>
      </c>
    </row>
    <row r="7" spans="1:95" ht="13" x14ac:dyDescent="0.3">
      <c r="A7" s="85" t="s">
        <v>67</v>
      </c>
      <c r="B7" s="86" t="s">
        <v>68</v>
      </c>
      <c r="C7" s="86" t="s">
        <v>69</v>
      </c>
      <c r="D7" s="94">
        <v>45682</v>
      </c>
      <c r="E7" s="87" t="s">
        <v>70</v>
      </c>
      <c r="F7" s="87" t="s">
        <v>314</v>
      </c>
      <c r="G7" s="86"/>
      <c r="H7" s="87" t="s">
        <v>308</v>
      </c>
      <c r="I7" s="86" t="s">
        <v>60</v>
      </c>
      <c r="J7" s="86" t="s">
        <v>60</v>
      </c>
      <c r="K7" s="86" t="s">
        <v>311</v>
      </c>
      <c r="L7" s="86" t="s">
        <v>311</v>
      </c>
      <c r="M7" s="86" t="s">
        <v>60</v>
      </c>
      <c r="N7" s="86" t="s">
        <v>60</v>
      </c>
      <c r="O7" s="88">
        <v>203399026</v>
      </c>
      <c r="P7" s="88">
        <v>1643700</v>
      </c>
      <c r="Q7" s="88">
        <v>39165522</v>
      </c>
      <c r="R7" s="88">
        <v>244208248</v>
      </c>
      <c r="S7" s="89">
        <f t="shared" si="0"/>
        <v>0.83289171297768783</v>
      </c>
      <c r="T7" s="90">
        <v>59952</v>
      </c>
      <c r="U7" s="86">
        <v>15</v>
      </c>
      <c r="V7" s="86">
        <v>4</v>
      </c>
      <c r="W7" s="86">
        <v>50965</v>
      </c>
      <c r="X7" s="86">
        <v>11263</v>
      </c>
      <c r="Y7" s="119">
        <v>0.221</v>
      </c>
      <c r="Z7" s="86">
        <v>14</v>
      </c>
      <c r="AA7" s="86">
        <v>2</v>
      </c>
      <c r="AB7" s="86">
        <v>123698</v>
      </c>
      <c r="AC7" s="86">
        <v>14088</v>
      </c>
      <c r="AD7" s="120">
        <v>0.114</v>
      </c>
      <c r="AE7" s="121">
        <v>-7.6200000000000004E-2</v>
      </c>
      <c r="AF7" s="121">
        <v>-2.41E-2</v>
      </c>
      <c r="AG7" s="121">
        <v>-7.3400000000000007E-2</v>
      </c>
      <c r="AH7" s="121">
        <v>6.6600000000000006E-2</v>
      </c>
      <c r="AI7" s="121">
        <v>2.2100000000000002E-2</v>
      </c>
      <c r="AJ7" s="121">
        <v>8.5099999999999995E-2</v>
      </c>
      <c r="AK7" s="121">
        <v>1.4200000000000001E-2</v>
      </c>
      <c r="AL7" s="121">
        <v>0.1043</v>
      </c>
      <c r="AM7" s="121">
        <v>-0.153</v>
      </c>
      <c r="AN7" s="121">
        <v>-0.26519999999999999</v>
      </c>
      <c r="AO7" s="121">
        <v>5.91E-2</v>
      </c>
      <c r="AP7" s="121">
        <v>1.3899999999999999E-2</v>
      </c>
      <c r="AQ7" s="121">
        <v>0.22289999999999999</v>
      </c>
      <c r="AR7" s="121">
        <v>0.495</v>
      </c>
      <c r="AS7" s="121">
        <v>-5.3800000000000001E-2</v>
      </c>
      <c r="AT7" s="121">
        <v>0.19719999999999999</v>
      </c>
      <c r="AU7" s="122">
        <v>-5416</v>
      </c>
      <c r="AV7" s="123">
        <v>-9.4E-2</v>
      </c>
      <c r="AW7" s="122">
        <v>-9214</v>
      </c>
      <c r="AX7" s="123">
        <v>-7.0000000000000007E-2</v>
      </c>
      <c r="AY7" s="122">
        <v>5937</v>
      </c>
      <c r="AZ7" s="123">
        <v>0.30299999999999999</v>
      </c>
      <c r="BA7" s="122">
        <v>23917</v>
      </c>
      <c r="BB7" s="123">
        <v>0.60199999999999998</v>
      </c>
      <c r="BC7" s="122">
        <v>2356</v>
      </c>
      <c r="BD7" s="123">
        <v>0.56999999999999995</v>
      </c>
      <c r="BE7" s="122">
        <v>22877</v>
      </c>
      <c r="BF7" s="123">
        <v>0.79500000000000004</v>
      </c>
      <c r="BG7" s="122">
        <v>1698</v>
      </c>
      <c r="BH7" s="123">
        <v>0.39900000000000002</v>
      </c>
      <c r="BI7" s="122">
        <v>1041</v>
      </c>
      <c r="BJ7" s="123">
        <v>0.46800000000000003</v>
      </c>
      <c r="BK7" s="91">
        <v>3.3</v>
      </c>
      <c r="BL7" s="91">
        <v>4.3</v>
      </c>
      <c r="BM7" s="92">
        <f t="shared" si="1"/>
        <v>0.30303030303030304</v>
      </c>
      <c r="BN7" s="91">
        <v>4.0999999999999996</v>
      </c>
      <c r="BO7" s="91">
        <v>6.5</v>
      </c>
      <c r="BP7" s="92">
        <f t="shared" si="2"/>
        <v>-0.36923076923076931</v>
      </c>
      <c r="BQ7" s="90">
        <v>3156</v>
      </c>
      <c r="BR7" s="124">
        <v>13</v>
      </c>
      <c r="BS7" s="86"/>
      <c r="BT7" s="124">
        <v>3640</v>
      </c>
      <c r="BU7" s="86"/>
      <c r="BV7" s="93">
        <f t="shared" si="3"/>
        <v>1.1533586818757922</v>
      </c>
      <c r="BW7" s="86"/>
      <c r="BX7" s="120">
        <v>0.54300000000000004</v>
      </c>
      <c r="BY7" s="120">
        <v>0.47299999999999998</v>
      </c>
      <c r="BZ7" s="125">
        <f t="shared" si="4"/>
        <v>0.1479915433403807</v>
      </c>
      <c r="CA7" s="120">
        <v>1.7000000000000001E-2</v>
      </c>
      <c r="CB7" s="126">
        <v>40116</v>
      </c>
      <c r="CC7" s="126">
        <v>48939</v>
      </c>
      <c r="CD7" s="126">
        <v>69781</v>
      </c>
      <c r="CE7" s="120">
        <f t="shared" si="5"/>
        <v>0.21993718217170205</v>
      </c>
      <c r="CF7" s="120">
        <f t="shared" si="6"/>
        <v>0.7394805065310599</v>
      </c>
      <c r="CG7" s="88">
        <v>1431552952</v>
      </c>
      <c r="CH7" s="127">
        <v>182416</v>
      </c>
      <c r="CI7" s="128">
        <f t="shared" si="7"/>
        <v>7847.737873870713</v>
      </c>
      <c r="CJ7" s="88">
        <v>741439686</v>
      </c>
      <c r="CK7" s="127">
        <v>190535</v>
      </c>
      <c r="CL7" s="128">
        <f t="shared" si="8"/>
        <v>3891.3568950586505</v>
      </c>
      <c r="CM7" s="120">
        <f t="shared" si="9"/>
        <v>0.93077465238352508</v>
      </c>
      <c r="CN7" s="120">
        <f t="shared" si="10"/>
        <v>1.0167098740894163</v>
      </c>
      <c r="CO7" s="129">
        <v>3.27</v>
      </c>
      <c r="CP7" s="92">
        <v>-3.1E-2</v>
      </c>
      <c r="CQ7" s="130">
        <v>3.5000000000000003E-2</v>
      </c>
    </row>
    <row r="8" spans="1:95" ht="13" x14ac:dyDescent="0.3">
      <c r="A8" s="75" t="s">
        <v>71</v>
      </c>
      <c r="B8" s="76" t="s">
        <v>72</v>
      </c>
      <c r="C8" s="76" t="s">
        <v>52</v>
      </c>
      <c r="D8" s="77"/>
      <c r="E8" s="77"/>
      <c r="F8" s="77"/>
      <c r="G8" s="76"/>
      <c r="H8" s="77" t="s">
        <v>310</v>
      </c>
      <c r="I8" s="76" t="s">
        <v>53</v>
      </c>
      <c r="J8" s="76" t="s">
        <v>53</v>
      </c>
      <c r="K8" s="76" t="s">
        <v>311</v>
      </c>
      <c r="L8" s="76" t="s">
        <v>311</v>
      </c>
      <c r="M8" s="76" t="s">
        <v>60</v>
      </c>
      <c r="N8" s="76" t="s">
        <v>53</v>
      </c>
      <c r="O8" s="78">
        <v>32488718</v>
      </c>
      <c r="P8" s="78">
        <v>17437012</v>
      </c>
      <c r="Q8" s="78">
        <v>141749156</v>
      </c>
      <c r="R8" s="78">
        <v>191674886</v>
      </c>
      <c r="S8" s="79">
        <f t="shared" si="0"/>
        <v>0.16949908607223588</v>
      </c>
      <c r="T8" s="80">
        <v>36729</v>
      </c>
      <c r="U8" s="76">
        <v>12</v>
      </c>
      <c r="V8" s="76">
        <v>12</v>
      </c>
      <c r="W8" s="76">
        <v>29317</v>
      </c>
      <c r="X8" s="76">
        <v>29317</v>
      </c>
      <c r="Y8" s="131">
        <v>1</v>
      </c>
      <c r="Z8" s="76">
        <v>11</v>
      </c>
      <c r="AA8" s="76">
        <v>0</v>
      </c>
      <c r="AB8" s="76">
        <v>46253</v>
      </c>
      <c r="AC8" s="76">
        <v>0</v>
      </c>
      <c r="AD8" s="108">
        <v>0</v>
      </c>
      <c r="AE8" s="109">
        <v>-9.7199999999999995E-2</v>
      </c>
      <c r="AF8" s="109">
        <v>-9.5500000000000002E-2</v>
      </c>
      <c r="AG8" s="109">
        <v>-0.1111</v>
      </c>
      <c r="AH8" s="109">
        <v>-0.24310000000000001</v>
      </c>
      <c r="AI8" s="109">
        <v>-4.3400000000000001E-2</v>
      </c>
      <c r="AJ8" s="109">
        <v>2.92E-2</v>
      </c>
      <c r="AK8" s="109">
        <v>-2.76E-2</v>
      </c>
      <c r="AL8" s="109">
        <v>-0.37140000000000001</v>
      </c>
      <c r="AM8" s="109">
        <v>-0.21029999999999999</v>
      </c>
      <c r="AN8" s="109">
        <v>-0.36399999999999999</v>
      </c>
      <c r="AO8" s="109">
        <v>-0.27250000000000002</v>
      </c>
      <c r="AP8" s="109">
        <v>-0.37519999999999998</v>
      </c>
      <c r="AQ8" s="109"/>
      <c r="AR8" s="109"/>
      <c r="AS8" s="109"/>
      <c r="AT8" s="109"/>
      <c r="AU8" s="110">
        <v>-6225</v>
      </c>
      <c r="AV8" s="111">
        <v>-0.219</v>
      </c>
      <c r="AW8" s="110">
        <v>-4769</v>
      </c>
      <c r="AX8" s="111">
        <v>-9.6000000000000002E-2</v>
      </c>
      <c r="AY8" s="110">
        <v>6677</v>
      </c>
      <c r="AZ8" s="111">
        <v>0.159</v>
      </c>
      <c r="BA8" s="110">
        <v>9803</v>
      </c>
      <c r="BB8" s="111">
        <v>0.66700000000000004</v>
      </c>
      <c r="BC8" s="110">
        <v>5133</v>
      </c>
      <c r="BD8" s="111">
        <v>0.56599999999999995</v>
      </c>
      <c r="BE8" s="110">
        <v>9692</v>
      </c>
      <c r="BF8" s="111">
        <v>0.82899999999999996</v>
      </c>
      <c r="BG8" s="110">
        <v>2876</v>
      </c>
      <c r="BH8" s="111">
        <v>0.39300000000000002</v>
      </c>
      <c r="BI8" s="110">
        <v>150</v>
      </c>
      <c r="BJ8" s="111">
        <v>0.44</v>
      </c>
      <c r="BK8" s="81">
        <v>3.2</v>
      </c>
      <c r="BL8" s="81">
        <v>3.2</v>
      </c>
      <c r="BM8" s="82">
        <f t="shared" si="1"/>
        <v>0</v>
      </c>
      <c r="BN8" s="81">
        <v>4.0999999999999996</v>
      </c>
      <c r="BO8" s="81">
        <v>5</v>
      </c>
      <c r="BP8" s="82">
        <f t="shared" si="2"/>
        <v>-0.18000000000000008</v>
      </c>
      <c r="BQ8" s="80">
        <v>1880</v>
      </c>
      <c r="BR8" s="112">
        <v>10</v>
      </c>
      <c r="BS8" s="76"/>
      <c r="BT8" s="112">
        <v>1540</v>
      </c>
      <c r="BU8" s="76"/>
      <c r="BV8" s="83">
        <f t="shared" si="3"/>
        <v>0.81914893617021278</v>
      </c>
      <c r="BW8" s="76"/>
      <c r="BX8" s="108">
        <v>0.51500000000000001</v>
      </c>
      <c r="BY8" s="108">
        <v>0.47099999999999997</v>
      </c>
      <c r="BZ8" s="113">
        <f t="shared" si="4"/>
        <v>9.3418259023354655E-2</v>
      </c>
      <c r="CA8" s="108">
        <v>8.9999999999999993E-3</v>
      </c>
      <c r="CB8" s="114">
        <v>39393</v>
      </c>
      <c r="CC8" s="114">
        <v>50000</v>
      </c>
      <c r="CD8" s="114">
        <v>73158</v>
      </c>
      <c r="CE8" s="108">
        <f t="shared" si="5"/>
        <v>0.26926103622470998</v>
      </c>
      <c r="CF8" s="108">
        <f t="shared" si="6"/>
        <v>0.85713197776254668</v>
      </c>
      <c r="CG8" s="78">
        <v>1605807295</v>
      </c>
      <c r="CH8" s="115">
        <v>73958</v>
      </c>
      <c r="CI8" s="116">
        <f t="shared" si="7"/>
        <v>21712.421847535086</v>
      </c>
      <c r="CJ8" s="78">
        <v>1279222689</v>
      </c>
      <c r="CK8" s="115">
        <v>89235</v>
      </c>
      <c r="CL8" s="116">
        <f t="shared" si="8"/>
        <v>14335.436644814254</v>
      </c>
      <c r="CM8" s="108">
        <f t="shared" si="9"/>
        <v>0.25529926009622239</v>
      </c>
      <c r="CN8" s="108">
        <f t="shared" si="10"/>
        <v>0.51459787277490476</v>
      </c>
      <c r="CO8" s="117">
        <v>5.37</v>
      </c>
      <c r="CP8" s="82">
        <v>4.4999999999999998E-2</v>
      </c>
      <c r="CQ8" s="118">
        <v>5.0999999999999997E-2</v>
      </c>
    </row>
    <row r="9" spans="1:95" ht="13" x14ac:dyDescent="0.3">
      <c r="A9" s="85" t="s">
        <v>73</v>
      </c>
      <c r="B9" s="86" t="s">
        <v>74</v>
      </c>
      <c r="C9" s="86" t="s">
        <v>52</v>
      </c>
      <c r="D9" s="87"/>
      <c r="E9" s="87"/>
      <c r="F9" s="87"/>
      <c r="G9" s="86"/>
      <c r="H9" s="87" t="s">
        <v>315</v>
      </c>
      <c r="I9" s="86" t="s">
        <v>53</v>
      </c>
      <c r="J9" s="86" t="s">
        <v>53</v>
      </c>
      <c r="K9" s="86" t="s">
        <v>311</v>
      </c>
      <c r="L9" s="86" t="s">
        <v>311</v>
      </c>
      <c r="M9" s="86" t="s">
        <v>60</v>
      </c>
      <c r="N9" s="86" t="s">
        <v>53</v>
      </c>
      <c r="O9" s="88">
        <v>18825200</v>
      </c>
      <c r="P9" s="88">
        <v>21073927</v>
      </c>
      <c r="Q9" s="88">
        <v>9025</v>
      </c>
      <c r="R9" s="88">
        <v>39908152</v>
      </c>
      <c r="S9" s="89">
        <f t="shared" si="0"/>
        <v>0.47171314772981721</v>
      </c>
      <c r="T9" s="90">
        <v>9686</v>
      </c>
      <c r="U9" s="86">
        <v>1</v>
      </c>
      <c r="V9" s="86">
        <v>0</v>
      </c>
      <c r="W9" s="86">
        <v>7741</v>
      </c>
      <c r="X9" s="86">
        <v>0</v>
      </c>
      <c r="Y9" s="119">
        <v>0</v>
      </c>
      <c r="Z9" s="86">
        <v>2</v>
      </c>
      <c r="AA9" s="86">
        <v>0</v>
      </c>
      <c r="AB9" s="86">
        <v>23454</v>
      </c>
      <c r="AC9" s="86">
        <v>0</v>
      </c>
      <c r="AD9" s="120">
        <v>0</v>
      </c>
      <c r="AE9" s="121">
        <v>1.9E-3</v>
      </c>
      <c r="AF9" s="121">
        <v>8.0500000000000002E-2</v>
      </c>
      <c r="AG9" s="121">
        <v>0.12759999999999999</v>
      </c>
      <c r="AH9" s="121">
        <v>0.2336</v>
      </c>
      <c r="AI9" s="121">
        <v>-1.67E-2</v>
      </c>
      <c r="AJ9" s="121">
        <v>-2.0299999999999999E-2</v>
      </c>
      <c r="AK9" s="132"/>
      <c r="AL9" s="132"/>
      <c r="AM9" s="121">
        <v>-0.16220000000000001</v>
      </c>
      <c r="AN9" s="121">
        <v>1.6856</v>
      </c>
      <c r="AO9" s="121">
        <v>-0.153</v>
      </c>
      <c r="AP9" s="121">
        <v>3.9451999999999998</v>
      </c>
      <c r="AQ9" s="121">
        <v>0.2137</v>
      </c>
      <c r="AR9" s="121">
        <v>0.2666</v>
      </c>
      <c r="AS9" s="121">
        <v>-0.59860000000000002</v>
      </c>
      <c r="AT9" s="121">
        <v>-0.74739999999999995</v>
      </c>
      <c r="AU9" s="122">
        <v>-1635</v>
      </c>
      <c r="AV9" s="123">
        <v>-0.184</v>
      </c>
      <c r="AW9" s="122">
        <v>540</v>
      </c>
      <c r="AX9" s="123">
        <v>2.3E-2</v>
      </c>
      <c r="AY9" s="122">
        <v>1914</v>
      </c>
      <c r="AZ9" s="123">
        <v>0.19800000000000001</v>
      </c>
      <c r="BA9" s="122">
        <v>5018</v>
      </c>
      <c r="BB9" s="123">
        <v>0.751</v>
      </c>
      <c r="BC9" s="122">
        <v>0</v>
      </c>
      <c r="BD9" s="133"/>
      <c r="BE9" s="122">
        <v>5029</v>
      </c>
      <c r="BF9" s="123">
        <v>0.875</v>
      </c>
      <c r="BG9" s="122">
        <v>0</v>
      </c>
      <c r="BH9" s="133"/>
      <c r="BI9" s="122">
        <v>71</v>
      </c>
      <c r="BJ9" s="123">
        <v>0.20300000000000001</v>
      </c>
      <c r="BK9" s="91">
        <v>3.8</v>
      </c>
      <c r="BL9" s="91">
        <v>3.7</v>
      </c>
      <c r="BM9" s="92">
        <f t="shared" si="1"/>
        <v>-2.6315789473684119E-2</v>
      </c>
      <c r="BN9" s="91">
        <v>5.2</v>
      </c>
      <c r="BO9" s="91">
        <v>5.6</v>
      </c>
      <c r="BP9" s="92">
        <f t="shared" si="2"/>
        <v>-7.1428571428571341E-2</v>
      </c>
      <c r="BQ9" s="86">
        <v>399</v>
      </c>
      <c r="BR9" s="124">
        <v>6</v>
      </c>
      <c r="BS9" s="86"/>
      <c r="BT9" s="124">
        <v>260</v>
      </c>
      <c r="BU9" s="86"/>
      <c r="BV9" s="93">
        <f t="shared" si="3"/>
        <v>0.65162907268170422</v>
      </c>
      <c r="BW9" s="86"/>
      <c r="BX9" s="120">
        <v>0.44500000000000001</v>
      </c>
      <c r="BY9" s="120">
        <v>0.38800000000000001</v>
      </c>
      <c r="BZ9" s="125">
        <f t="shared" si="4"/>
        <v>0.14690721649484534</v>
      </c>
      <c r="CA9" s="120">
        <v>2E-3</v>
      </c>
      <c r="CB9" s="126">
        <v>36444</v>
      </c>
      <c r="CC9" s="126">
        <v>50000</v>
      </c>
      <c r="CD9" s="126">
        <v>64894</v>
      </c>
      <c r="CE9" s="120">
        <f t="shared" si="5"/>
        <v>0.37196795082866863</v>
      </c>
      <c r="CF9" s="120">
        <f t="shared" si="6"/>
        <v>0.78064976402151243</v>
      </c>
      <c r="CG9" s="88">
        <v>275699544</v>
      </c>
      <c r="CH9" s="127">
        <v>36134</v>
      </c>
      <c r="CI9" s="128">
        <f t="shared" si="7"/>
        <v>7629.9204073725577</v>
      </c>
      <c r="CJ9" s="88">
        <v>227606200</v>
      </c>
      <c r="CK9" s="127">
        <v>35657</v>
      </c>
      <c r="CL9" s="128">
        <f t="shared" si="8"/>
        <v>6383.212272485066</v>
      </c>
      <c r="CM9" s="120">
        <f t="shared" si="9"/>
        <v>0.21130067634361455</v>
      </c>
      <c r="CN9" s="120">
        <f t="shared" si="10"/>
        <v>0.1953104615150347</v>
      </c>
      <c r="CO9" s="129">
        <v>4.59</v>
      </c>
      <c r="CP9" s="92">
        <v>-0.107</v>
      </c>
      <c r="CQ9" s="130">
        <v>-0.14799999999999999</v>
      </c>
    </row>
    <row r="10" spans="1:95" ht="13" x14ac:dyDescent="0.3">
      <c r="A10" s="75" t="s">
        <v>75</v>
      </c>
      <c r="B10" s="76" t="s">
        <v>76</v>
      </c>
      <c r="C10" s="76" t="s">
        <v>52</v>
      </c>
      <c r="D10" s="77"/>
      <c r="E10" s="77"/>
      <c r="F10" s="77"/>
      <c r="G10" s="76"/>
      <c r="H10" s="77" t="s">
        <v>310</v>
      </c>
      <c r="I10" s="76" t="s">
        <v>60</v>
      </c>
      <c r="J10" s="76" t="s">
        <v>60</v>
      </c>
      <c r="K10" s="76" t="s">
        <v>307</v>
      </c>
      <c r="L10" s="76" t="s">
        <v>307</v>
      </c>
      <c r="M10" s="76" t="s">
        <v>53</v>
      </c>
      <c r="N10" s="76" t="s">
        <v>60</v>
      </c>
      <c r="O10" s="78">
        <v>293854259</v>
      </c>
      <c r="P10" s="78">
        <v>664669634</v>
      </c>
      <c r="Q10" s="78">
        <v>72082704</v>
      </c>
      <c r="R10" s="78">
        <v>1030606597</v>
      </c>
      <c r="S10" s="79">
        <f t="shared" si="0"/>
        <v>0.28512747721136505</v>
      </c>
      <c r="T10" s="80">
        <v>190683</v>
      </c>
      <c r="U10" s="76">
        <v>28</v>
      </c>
      <c r="V10" s="76">
        <v>1</v>
      </c>
      <c r="W10" s="76">
        <v>278703</v>
      </c>
      <c r="X10" s="76">
        <v>18408</v>
      </c>
      <c r="Y10" s="131">
        <v>6.6000000000000003E-2</v>
      </c>
      <c r="Z10" s="76">
        <v>13</v>
      </c>
      <c r="AA10" s="76">
        <v>0</v>
      </c>
      <c r="AB10" s="76">
        <v>265228</v>
      </c>
      <c r="AC10" s="76">
        <v>0</v>
      </c>
      <c r="AD10" s="108">
        <v>0</v>
      </c>
      <c r="AE10" s="109">
        <v>1.01E-2</v>
      </c>
      <c r="AF10" s="109">
        <v>6.1100000000000002E-2</v>
      </c>
      <c r="AG10" s="109">
        <v>2.7000000000000001E-3</v>
      </c>
      <c r="AH10" s="109">
        <v>0.12570000000000001</v>
      </c>
      <c r="AI10" s="109">
        <v>6.4600000000000005E-2</v>
      </c>
      <c r="AJ10" s="109">
        <v>0.12659999999999999</v>
      </c>
      <c r="AK10" s="109">
        <v>-0.221</v>
      </c>
      <c r="AL10" s="109">
        <v>0.44619999999999999</v>
      </c>
      <c r="AM10" s="109">
        <v>-0.1278</v>
      </c>
      <c r="AN10" s="109">
        <v>-0.20519999999999999</v>
      </c>
      <c r="AO10" s="109">
        <v>-0.1762</v>
      </c>
      <c r="AP10" s="109">
        <v>-0.20380000000000001</v>
      </c>
      <c r="AQ10" s="109">
        <v>0.12870000000000001</v>
      </c>
      <c r="AR10" s="109">
        <v>0.1371</v>
      </c>
      <c r="AS10" s="109">
        <v>0.67230000000000001</v>
      </c>
      <c r="AT10" s="109">
        <v>0.50670000000000004</v>
      </c>
      <c r="AU10" s="110">
        <v>-48025</v>
      </c>
      <c r="AV10" s="111">
        <v>-0.151</v>
      </c>
      <c r="AW10" s="110">
        <v>4726</v>
      </c>
      <c r="AX10" s="111">
        <v>1.7999999999999999E-2</v>
      </c>
      <c r="AY10" s="110">
        <v>46443</v>
      </c>
      <c r="AZ10" s="111">
        <v>0.41199999999999998</v>
      </c>
      <c r="BA10" s="110">
        <v>38428</v>
      </c>
      <c r="BB10" s="111">
        <v>0.74199999999999999</v>
      </c>
      <c r="BC10" s="110">
        <v>3186</v>
      </c>
      <c r="BD10" s="111">
        <v>0.60799999999999998</v>
      </c>
      <c r="BE10" s="110">
        <v>40676</v>
      </c>
      <c r="BF10" s="111">
        <v>0.9</v>
      </c>
      <c r="BG10" s="110">
        <v>1500</v>
      </c>
      <c r="BH10" s="111">
        <v>0.48</v>
      </c>
      <c r="BI10" s="110">
        <v>2999</v>
      </c>
      <c r="BJ10" s="111">
        <v>0.76200000000000001</v>
      </c>
      <c r="BK10" s="81">
        <v>3</v>
      </c>
      <c r="BL10" s="81">
        <v>3.4</v>
      </c>
      <c r="BM10" s="82">
        <f t="shared" si="1"/>
        <v>0.1333333333333333</v>
      </c>
      <c r="BN10" s="81">
        <v>4.3</v>
      </c>
      <c r="BO10" s="81">
        <v>5</v>
      </c>
      <c r="BP10" s="82">
        <f t="shared" si="2"/>
        <v>-0.14000000000000004</v>
      </c>
      <c r="BQ10" s="80">
        <v>11221</v>
      </c>
      <c r="BR10" s="112">
        <v>13</v>
      </c>
      <c r="BS10" s="76"/>
      <c r="BT10" s="112">
        <v>14850</v>
      </c>
      <c r="BU10" s="76"/>
      <c r="BV10" s="83">
        <f t="shared" si="3"/>
        <v>1.3234114606541307</v>
      </c>
      <c r="BW10" s="76"/>
      <c r="BX10" s="108">
        <v>0.44900000000000001</v>
      </c>
      <c r="BY10" s="108">
        <v>0.379</v>
      </c>
      <c r="BZ10" s="113">
        <f t="shared" si="4"/>
        <v>0.18469656992084435</v>
      </c>
      <c r="CA10" s="108">
        <v>4.2999999999999997E-2</v>
      </c>
      <c r="CB10" s="114">
        <v>32414</v>
      </c>
      <c r="CC10" s="114">
        <v>41650</v>
      </c>
      <c r="CD10" s="114">
        <v>55000</v>
      </c>
      <c r="CE10" s="108">
        <f t="shared" si="5"/>
        <v>0.28493860677485039</v>
      </c>
      <c r="CF10" s="108">
        <f t="shared" si="6"/>
        <v>0.69679768001480846</v>
      </c>
      <c r="CG10" s="78">
        <v>6192271162</v>
      </c>
      <c r="CH10" s="115">
        <v>566755</v>
      </c>
      <c r="CI10" s="116">
        <f t="shared" si="7"/>
        <v>10925.834199962947</v>
      </c>
      <c r="CJ10" s="78">
        <v>3945277985</v>
      </c>
      <c r="CK10" s="115">
        <v>613097</v>
      </c>
      <c r="CL10" s="116">
        <f t="shared" si="8"/>
        <v>6434.9980264134383</v>
      </c>
      <c r="CM10" s="108">
        <f t="shared" si="9"/>
        <v>0.56953988680724099</v>
      </c>
      <c r="CN10" s="108">
        <f t="shared" si="10"/>
        <v>0.69787685328203386</v>
      </c>
      <c r="CO10" s="117">
        <v>4.3499999999999996</v>
      </c>
      <c r="CP10" s="82">
        <v>-0.11600000000000001</v>
      </c>
      <c r="CQ10" s="118">
        <v>-7.8E-2</v>
      </c>
    </row>
    <row r="11" spans="1:95" ht="13" x14ac:dyDescent="0.3">
      <c r="A11" s="85" t="s">
        <v>77</v>
      </c>
      <c r="B11" s="86" t="s">
        <v>78</v>
      </c>
      <c r="C11" s="86" t="s">
        <v>52</v>
      </c>
      <c r="D11" s="87" t="s">
        <v>79</v>
      </c>
      <c r="E11" s="87" t="s">
        <v>80</v>
      </c>
      <c r="F11" s="87" t="s">
        <v>316</v>
      </c>
      <c r="G11" s="86" t="s">
        <v>317</v>
      </c>
      <c r="H11" s="87" t="s">
        <v>313</v>
      </c>
      <c r="I11" s="86" t="s">
        <v>53</v>
      </c>
      <c r="J11" s="86" t="s">
        <v>53</v>
      </c>
      <c r="K11" s="86" t="s">
        <v>307</v>
      </c>
      <c r="L11" s="86" t="s">
        <v>307</v>
      </c>
      <c r="M11" s="86" t="s">
        <v>60</v>
      </c>
      <c r="N11" s="86" t="s">
        <v>60</v>
      </c>
      <c r="O11" s="88">
        <v>8318727</v>
      </c>
      <c r="P11" s="88">
        <v>938796012</v>
      </c>
      <c r="Q11" s="88">
        <v>24643874</v>
      </c>
      <c r="R11" s="88">
        <v>971758613</v>
      </c>
      <c r="S11" s="89">
        <f t="shared" si="0"/>
        <v>8.56048702703909E-3</v>
      </c>
      <c r="T11" s="90">
        <v>115718</v>
      </c>
      <c r="U11" s="86">
        <v>30</v>
      </c>
      <c r="V11" s="86">
        <v>9</v>
      </c>
      <c r="W11" s="86">
        <v>90780</v>
      </c>
      <c r="X11" s="86">
        <v>32359</v>
      </c>
      <c r="Y11" s="119">
        <v>0.35599999999999998</v>
      </c>
      <c r="Z11" s="86">
        <v>20</v>
      </c>
      <c r="AA11" s="86">
        <v>7</v>
      </c>
      <c r="AB11" s="86">
        <v>210655</v>
      </c>
      <c r="AC11" s="86">
        <v>31157</v>
      </c>
      <c r="AD11" s="120">
        <v>0.14799999999999999</v>
      </c>
      <c r="AE11" s="121">
        <v>-2.3699999999999999E-2</v>
      </c>
      <c r="AF11" s="121">
        <v>3.5700000000000003E-2</v>
      </c>
      <c r="AG11" s="121">
        <v>5.3699999999999998E-2</v>
      </c>
      <c r="AH11" s="121">
        <v>0.1789</v>
      </c>
      <c r="AI11" s="121">
        <v>9.1000000000000004E-3</v>
      </c>
      <c r="AJ11" s="121">
        <v>4.1599999999999998E-2</v>
      </c>
      <c r="AK11" s="121">
        <v>-2.69E-2</v>
      </c>
      <c r="AL11" s="121">
        <v>0.33310000000000001</v>
      </c>
      <c r="AM11" s="121">
        <v>-0.21079999999999999</v>
      </c>
      <c r="AN11" s="121">
        <v>-0.33029999999999998</v>
      </c>
      <c r="AO11" s="121">
        <v>-2.3900000000000001E-2</v>
      </c>
      <c r="AP11" s="121">
        <v>3.8699999999999998E-2</v>
      </c>
      <c r="AQ11" s="121">
        <v>0.2291</v>
      </c>
      <c r="AR11" s="121">
        <v>1.1527000000000001</v>
      </c>
      <c r="AS11" s="121">
        <v>-0.16669999999999999</v>
      </c>
      <c r="AT11" s="121">
        <v>0.50190000000000001</v>
      </c>
      <c r="AU11" s="122">
        <v>-16008</v>
      </c>
      <c r="AV11" s="123">
        <v>-0.152</v>
      </c>
      <c r="AW11" s="122">
        <v>-3501</v>
      </c>
      <c r="AX11" s="123">
        <v>-1.7000000000000001E-2</v>
      </c>
      <c r="AY11" s="122">
        <v>12878</v>
      </c>
      <c r="AZ11" s="123">
        <v>0.32600000000000001</v>
      </c>
      <c r="BA11" s="122">
        <v>36536</v>
      </c>
      <c r="BB11" s="123">
        <v>0.55300000000000005</v>
      </c>
      <c r="BC11" s="122">
        <v>8520</v>
      </c>
      <c r="BD11" s="123">
        <v>0.60699999999999998</v>
      </c>
      <c r="BE11" s="122">
        <v>41949</v>
      </c>
      <c r="BF11" s="123">
        <v>0.77100000000000002</v>
      </c>
      <c r="BG11" s="122">
        <v>8762</v>
      </c>
      <c r="BH11" s="123">
        <v>0.45600000000000002</v>
      </c>
      <c r="BI11" s="122">
        <v>2352</v>
      </c>
      <c r="BJ11" s="123">
        <v>0.48699999999999999</v>
      </c>
      <c r="BK11" s="91">
        <v>3.3</v>
      </c>
      <c r="BL11" s="91">
        <v>3.5</v>
      </c>
      <c r="BM11" s="92">
        <f t="shared" si="1"/>
        <v>6.0606060606060663E-2</v>
      </c>
      <c r="BN11" s="91">
        <v>5.7</v>
      </c>
      <c r="BO11" s="91">
        <v>5.5</v>
      </c>
      <c r="BP11" s="92">
        <f t="shared" si="2"/>
        <v>3.6363636363636397E-2</v>
      </c>
      <c r="BQ11" s="90">
        <v>5671</v>
      </c>
      <c r="BR11" s="124">
        <v>8</v>
      </c>
      <c r="BS11" s="86"/>
      <c r="BT11" s="124">
        <v>2870</v>
      </c>
      <c r="BU11" s="86"/>
      <c r="BV11" s="93">
        <f t="shared" si="3"/>
        <v>0.50608358314230295</v>
      </c>
      <c r="BW11" s="86"/>
      <c r="BX11" s="120">
        <v>0.44400000000000001</v>
      </c>
      <c r="BY11" s="120">
        <v>0.372</v>
      </c>
      <c r="BZ11" s="125">
        <f t="shared" si="4"/>
        <v>0.19354838709677422</v>
      </c>
      <c r="CA11" s="120">
        <v>2.1000000000000001E-2</v>
      </c>
      <c r="CB11" s="126">
        <v>33037</v>
      </c>
      <c r="CC11" s="126">
        <v>42476</v>
      </c>
      <c r="CD11" s="126">
        <v>61150</v>
      </c>
      <c r="CE11" s="120">
        <f t="shared" si="5"/>
        <v>0.28570996155825285</v>
      </c>
      <c r="CF11" s="120">
        <f t="shared" si="6"/>
        <v>0.85095498985985407</v>
      </c>
      <c r="CG11" s="88">
        <v>4625058914</v>
      </c>
      <c r="CH11" s="127">
        <v>355827</v>
      </c>
      <c r="CI11" s="128">
        <f t="shared" si="7"/>
        <v>12998.054993016269</v>
      </c>
      <c r="CJ11" s="88">
        <v>2775561943</v>
      </c>
      <c r="CK11" s="127">
        <v>355462</v>
      </c>
      <c r="CL11" s="128">
        <f t="shared" si="8"/>
        <v>7808.3225295530883</v>
      </c>
      <c r="CM11" s="120">
        <f t="shared" si="9"/>
        <v>0.66635045766658285</v>
      </c>
      <c r="CN11" s="120">
        <f t="shared" si="10"/>
        <v>0.66464114972466648</v>
      </c>
      <c r="CO11" s="129">
        <v>6.82</v>
      </c>
      <c r="CP11" s="92">
        <v>-7.9000000000000001E-2</v>
      </c>
      <c r="CQ11" s="130">
        <v>-5.6000000000000001E-2</v>
      </c>
    </row>
    <row r="12" spans="1:95" ht="13" x14ac:dyDescent="0.3">
      <c r="A12" s="75" t="s">
        <v>81</v>
      </c>
      <c r="B12" s="76" t="s">
        <v>82</v>
      </c>
      <c r="C12" s="76" t="s">
        <v>52</v>
      </c>
      <c r="D12" s="77"/>
      <c r="E12" s="77"/>
      <c r="F12" s="77"/>
      <c r="G12" s="76"/>
      <c r="H12" s="77" t="s">
        <v>306</v>
      </c>
      <c r="I12" s="76" t="s">
        <v>60</v>
      </c>
      <c r="J12" s="76" t="s">
        <v>60</v>
      </c>
      <c r="K12" s="76" t="s">
        <v>311</v>
      </c>
      <c r="L12" s="76" t="s">
        <v>311</v>
      </c>
      <c r="M12" s="76" t="s">
        <v>60</v>
      </c>
      <c r="N12" s="76" t="s">
        <v>60</v>
      </c>
      <c r="O12" s="78">
        <v>6799977</v>
      </c>
      <c r="P12" s="78"/>
      <c r="Q12" s="78">
        <v>331911</v>
      </c>
      <c r="R12" s="78">
        <v>7131888</v>
      </c>
      <c r="S12" s="79">
        <f t="shared" si="0"/>
        <v>0.95346099097461989</v>
      </c>
      <c r="T12" s="80">
        <v>11358</v>
      </c>
      <c r="U12" s="76">
        <v>7</v>
      </c>
      <c r="V12" s="76">
        <v>6</v>
      </c>
      <c r="W12" s="76">
        <v>12480</v>
      </c>
      <c r="X12" s="76">
        <v>11178</v>
      </c>
      <c r="Y12" s="131">
        <v>0.89600000000000002</v>
      </c>
      <c r="Z12" s="76">
        <v>3</v>
      </c>
      <c r="AA12" s="76">
        <v>0</v>
      </c>
      <c r="AB12" s="76">
        <v>17063</v>
      </c>
      <c r="AC12" s="76">
        <v>0</v>
      </c>
      <c r="AD12" s="108">
        <v>0</v>
      </c>
      <c r="AE12" s="109">
        <v>1.29E-2</v>
      </c>
      <c r="AF12" s="109">
        <v>-6.3E-2</v>
      </c>
      <c r="AG12" s="109">
        <v>0.1424</v>
      </c>
      <c r="AH12" s="109">
        <v>8.7099999999999997E-2</v>
      </c>
      <c r="AI12" s="109">
        <v>5.1400000000000001E-2</v>
      </c>
      <c r="AJ12" s="109">
        <v>0.108</v>
      </c>
      <c r="AK12" s="134"/>
      <c r="AL12" s="134"/>
      <c r="AM12" s="109">
        <v>-0.34589999999999999</v>
      </c>
      <c r="AN12" s="109">
        <v>-0.51749999999999996</v>
      </c>
      <c r="AO12" s="109">
        <v>-1.2E-2</v>
      </c>
      <c r="AP12" s="109">
        <v>-0.13170000000000001</v>
      </c>
      <c r="AQ12" s="109">
        <v>0.22600000000000001</v>
      </c>
      <c r="AR12" s="109">
        <v>0.77569999999999995</v>
      </c>
      <c r="AS12" s="109">
        <v>-0.34139999999999998</v>
      </c>
      <c r="AT12" s="109">
        <v>-0.39800000000000002</v>
      </c>
      <c r="AU12" s="110">
        <v>-3200</v>
      </c>
      <c r="AV12" s="111">
        <v>-0.216</v>
      </c>
      <c r="AW12" s="110">
        <v>119</v>
      </c>
      <c r="AX12" s="111">
        <v>7.0000000000000001E-3</v>
      </c>
      <c r="AY12" s="110">
        <v>2215</v>
      </c>
      <c r="AZ12" s="111">
        <v>0.27600000000000002</v>
      </c>
      <c r="BA12" s="110">
        <v>2526</v>
      </c>
      <c r="BB12" s="111">
        <v>0.56200000000000006</v>
      </c>
      <c r="BC12" s="110">
        <v>1960</v>
      </c>
      <c r="BD12" s="111">
        <v>0.64500000000000002</v>
      </c>
      <c r="BE12" s="110">
        <v>2846</v>
      </c>
      <c r="BF12" s="111">
        <v>0.77300000000000002</v>
      </c>
      <c r="BG12" s="110">
        <v>1228</v>
      </c>
      <c r="BH12" s="111">
        <v>0.47099999999999997</v>
      </c>
      <c r="BI12" s="110">
        <v>210</v>
      </c>
      <c r="BJ12" s="111">
        <v>0.47099999999999997</v>
      </c>
      <c r="BK12" s="81">
        <v>2.9</v>
      </c>
      <c r="BL12" s="81">
        <v>3</v>
      </c>
      <c r="BM12" s="82">
        <f t="shared" si="1"/>
        <v>3.4482758620689689E-2</v>
      </c>
      <c r="BN12" s="81">
        <v>3.6</v>
      </c>
      <c r="BO12" s="81">
        <v>4.5</v>
      </c>
      <c r="BP12" s="82">
        <f t="shared" si="2"/>
        <v>-0.19999999999999998</v>
      </c>
      <c r="BQ12" s="76">
        <v>740</v>
      </c>
      <c r="BR12" s="76"/>
      <c r="BS12" s="76"/>
      <c r="BT12" s="135"/>
      <c r="BU12" s="76"/>
      <c r="BV12" s="83"/>
      <c r="BW12" s="76"/>
      <c r="BX12" s="108">
        <v>0.48</v>
      </c>
      <c r="BY12" s="108">
        <v>0.43099999999999999</v>
      </c>
      <c r="BZ12" s="113">
        <f t="shared" si="4"/>
        <v>0.11368909512761018</v>
      </c>
      <c r="CA12" s="108">
        <v>3.0000000000000001E-3</v>
      </c>
      <c r="CB12" s="114">
        <v>38000</v>
      </c>
      <c r="CC12" s="114">
        <v>47271</v>
      </c>
      <c r="CD12" s="114">
        <v>60000</v>
      </c>
      <c r="CE12" s="108">
        <f t="shared" si="5"/>
        <v>0.24397368421052631</v>
      </c>
      <c r="CF12" s="108">
        <f t="shared" si="6"/>
        <v>0.57894736842105265</v>
      </c>
      <c r="CG12" s="78">
        <v>844156002</v>
      </c>
      <c r="CH12" s="115">
        <v>32363</v>
      </c>
      <c r="CI12" s="116">
        <f t="shared" si="7"/>
        <v>26083.984859252851</v>
      </c>
      <c r="CJ12" s="78">
        <v>530388306</v>
      </c>
      <c r="CK12" s="115">
        <v>40955</v>
      </c>
      <c r="CL12" s="116">
        <f t="shared" si="8"/>
        <v>12950.514125259431</v>
      </c>
      <c r="CM12" s="108">
        <f t="shared" si="9"/>
        <v>0.59158109718957497</v>
      </c>
      <c r="CN12" s="108">
        <f t="shared" si="10"/>
        <v>1.0141273625868752</v>
      </c>
      <c r="CO12" s="117">
        <v>8.7100000000000009</v>
      </c>
      <c r="CP12" s="82">
        <v>-0.08</v>
      </c>
      <c r="CQ12" s="118">
        <v>-1.4999999999999999E-2</v>
      </c>
    </row>
    <row r="13" spans="1:95" ht="13" x14ac:dyDescent="0.3">
      <c r="A13" s="85" t="s">
        <v>83</v>
      </c>
      <c r="B13" s="86" t="s">
        <v>84</v>
      </c>
      <c r="C13" s="86" t="s">
        <v>52</v>
      </c>
      <c r="D13" s="87"/>
      <c r="E13" s="87"/>
      <c r="F13" s="87"/>
      <c r="G13" s="86"/>
      <c r="H13" s="87" t="s">
        <v>306</v>
      </c>
      <c r="I13" s="86" t="s">
        <v>53</v>
      </c>
      <c r="J13" s="86" t="s">
        <v>53</v>
      </c>
      <c r="K13" s="86" t="s">
        <v>307</v>
      </c>
      <c r="L13" s="86" t="s">
        <v>307</v>
      </c>
      <c r="M13" s="86" t="s">
        <v>53</v>
      </c>
      <c r="N13" s="86" t="s">
        <v>60</v>
      </c>
      <c r="O13" s="88">
        <v>20347354</v>
      </c>
      <c r="P13" s="88">
        <v>298945</v>
      </c>
      <c r="Q13" s="88">
        <v>951409</v>
      </c>
      <c r="R13" s="88">
        <v>21597708</v>
      </c>
      <c r="S13" s="89">
        <f t="shared" si="0"/>
        <v>0.94210709766054801</v>
      </c>
      <c r="T13" s="90">
        <v>21549</v>
      </c>
      <c r="U13" s="86">
        <v>4</v>
      </c>
      <c r="V13" s="86">
        <v>2</v>
      </c>
      <c r="W13" s="86">
        <v>14854</v>
      </c>
      <c r="X13" s="86">
        <v>9257</v>
      </c>
      <c r="Y13" s="119">
        <v>0.623</v>
      </c>
      <c r="Z13" s="86">
        <v>4</v>
      </c>
      <c r="AA13" s="86">
        <v>0</v>
      </c>
      <c r="AB13" s="86">
        <v>32578</v>
      </c>
      <c r="AC13" s="86">
        <v>0</v>
      </c>
      <c r="AD13" s="120">
        <v>0</v>
      </c>
      <c r="AE13" s="121">
        <v>-2.2100000000000002E-2</v>
      </c>
      <c r="AF13" s="121">
        <v>-8.1000000000000003E-2</v>
      </c>
      <c r="AG13" s="121">
        <v>2.4199999999999999E-2</v>
      </c>
      <c r="AH13" s="121">
        <v>0.25259999999999999</v>
      </c>
      <c r="AI13" s="121">
        <v>0.1507</v>
      </c>
      <c r="AJ13" s="121">
        <v>0.31140000000000001</v>
      </c>
      <c r="AK13" s="121">
        <v>-0.18640000000000001</v>
      </c>
      <c r="AL13" s="121">
        <v>-0.29709999999999998</v>
      </c>
      <c r="AM13" s="121">
        <v>-0.1181</v>
      </c>
      <c r="AN13" s="121">
        <v>-0.3629</v>
      </c>
      <c r="AO13" s="121">
        <v>0.1069</v>
      </c>
      <c r="AP13" s="121">
        <v>0.28129999999999999</v>
      </c>
      <c r="AQ13" s="121">
        <v>0.34670000000000001</v>
      </c>
      <c r="AR13" s="121">
        <v>0.98119999999999996</v>
      </c>
      <c r="AS13" s="121">
        <v>1.21E-2</v>
      </c>
      <c r="AT13" s="121">
        <v>4.1099999999999998E-2</v>
      </c>
      <c r="AU13" s="122">
        <v>78</v>
      </c>
      <c r="AV13" s="123">
        <v>5.0000000000000001E-3</v>
      </c>
      <c r="AW13" s="122">
        <v>-551</v>
      </c>
      <c r="AX13" s="123">
        <v>-1.6E-2</v>
      </c>
      <c r="AY13" s="122">
        <v>2267</v>
      </c>
      <c r="AZ13" s="123">
        <v>0.29599999999999999</v>
      </c>
      <c r="BA13" s="122">
        <v>5552</v>
      </c>
      <c r="BB13" s="123">
        <v>0.53300000000000003</v>
      </c>
      <c r="BC13" s="122">
        <v>1655</v>
      </c>
      <c r="BD13" s="123">
        <v>0.57799999999999996</v>
      </c>
      <c r="BE13" s="122">
        <v>5780</v>
      </c>
      <c r="BF13" s="123">
        <v>0.74199999999999999</v>
      </c>
      <c r="BG13" s="122">
        <v>1127</v>
      </c>
      <c r="BH13" s="123">
        <v>0.42699999999999999</v>
      </c>
      <c r="BI13" s="122">
        <v>228</v>
      </c>
      <c r="BJ13" s="123">
        <v>0.377</v>
      </c>
      <c r="BK13" s="91">
        <v>3.2</v>
      </c>
      <c r="BL13" s="91">
        <v>3.7</v>
      </c>
      <c r="BM13" s="92">
        <f t="shared" si="1"/>
        <v>0.15625</v>
      </c>
      <c r="BN13" s="91">
        <v>4.3</v>
      </c>
      <c r="BO13" s="91">
        <v>5.3</v>
      </c>
      <c r="BP13" s="92">
        <f t="shared" si="2"/>
        <v>-0.18867924528301888</v>
      </c>
      <c r="BQ13" s="86">
        <v>932</v>
      </c>
      <c r="BR13" s="124">
        <v>11</v>
      </c>
      <c r="BS13" s="86"/>
      <c r="BT13" s="124">
        <v>1030</v>
      </c>
      <c r="BU13" s="86"/>
      <c r="BV13" s="93">
        <f t="shared" ref="BV13:BV51" si="11">BT13/BQ13</f>
        <v>1.1051502145922747</v>
      </c>
      <c r="BW13" s="86"/>
      <c r="BX13" s="120">
        <v>0.41599999999999998</v>
      </c>
      <c r="BY13" s="120">
        <v>0.36099999999999999</v>
      </c>
      <c r="BZ13" s="125">
        <f t="shared" si="4"/>
        <v>0.1523545706371191</v>
      </c>
      <c r="CA13" s="120">
        <v>5.0000000000000001E-3</v>
      </c>
      <c r="CB13" s="126">
        <v>36000</v>
      </c>
      <c r="CC13" s="126">
        <v>41644</v>
      </c>
      <c r="CD13" s="126">
        <v>55000</v>
      </c>
      <c r="CE13" s="120">
        <f t="shared" si="5"/>
        <v>0.15677777777777777</v>
      </c>
      <c r="CF13" s="120">
        <f t="shared" si="6"/>
        <v>0.52777777777777779</v>
      </c>
      <c r="CG13" s="88">
        <v>632151260</v>
      </c>
      <c r="CH13" s="127">
        <v>54311</v>
      </c>
      <c r="CI13" s="128">
        <f t="shared" si="7"/>
        <v>11639.470088932261</v>
      </c>
      <c r="CJ13" s="88">
        <v>399304132</v>
      </c>
      <c r="CK13" s="127">
        <v>56210</v>
      </c>
      <c r="CL13" s="128">
        <f t="shared" si="8"/>
        <v>7103.7917096602032</v>
      </c>
      <c r="CM13" s="120">
        <f t="shared" si="9"/>
        <v>0.58313227772959786</v>
      </c>
      <c r="CN13" s="120">
        <f t="shared" si="10"/>
        <v>0.63848696085840251</v>
      </c>
      <c r="CO13" s="129">
        <v>5.89</v>
      </c>
      <c r="CP13" s="92">
        <v>-0.191</v>
      </c>
      <c r="CQ13" s="130">
        <v>-0.129</v>
      </c>
    </row>
    <row r="14" spans="1:95" ht="13" x14ac:dyDescent="0.3">
      <c r="A14" s="75" t="s">
        <v>85</v>
      </c>
      <c r="B14" s="76" t="s">
        <v>86</v>
      </c>
      <c r="C14" s="76" t="s">
        <v>52</v>
      </c>
      <c r="D14" s="77"/>
      <c r="E14" s="77"/>
      <c r="F14" s="77"/>
      <c r="G14" s="76"/>
      <c r="H14" s="77" t="s">
        <v>308</v>
      </c>
      <c r="I14" s="76" t="s">
        <v>60</v>
      </c>
      <c r="J14" s="76" t="s">
        <v>53</v>
      </c>
      <c r="K14" s="76" t="s">
        <v>311</v>
      </c>
      <c r="L14" s="76" t="s">
        <v>311</v>
      </c>
      <c r="M14" s="76" t="s">
        <v>53</v>
      </c>
      <c r="N14" s="76" t="s">
        <v>60</v>
      </c>
      <c r="O14" s="78">
        <v>598017290</v>
      </c>
      <c r="P14" s="78">
        <v>830917</v>
      </c>
      <c r="Q14" s="78">
        <v>6855277</v>
      </c>
      <c r="R14" s="78">
        <v>605703484</v>
      </c>
      <c r="S14" s="79">
        <f t="shared" si="0"/>
        <v>0.98731030247796958</v>
      </c>
      <c r="T14" s="80">
        <v>133737</v>
      </c>
      <c r="U14" s="76">
        <v>48</v>
      </c>
      <c r="V14" s="76">
        <v>21</v>
      </c>
      <c r="W14" s="76">
        <v>158369</v>
      </c>
      <c r="X14" s="76">
        <v>95966</v>
      </c>
      <c r="Y14" s="131">
        <v>0.60599999999999998</v>
      </c>
      <c r="Z14" s="76">
        <v>12</v>
      </c>
      <c r="AA14" s="76">
        <v>3</v>
      </c>
      <c r="AB14" s="76">
        <v>118389</v>
      </c>
      <c r="AC14" s="76">
        <v>6925</v>
      </c>
      <c r="AD14" s="108">
        <v>5.8000000000000003E-2</v>
      </c>
      <c r="AE14" s="109">
        <v>-4.9399999999999999E-2</v>
      </c>
      <c r="AF14" s="109">
        <v>-0.12690000000000001</v>
      </c>
      <c r="AG14" s="109">
        <v>-5.1700000000000003E-2</v>
      </c>
      <c r="AH14" s="109">
        <v>-0.13650000000000001</v>
      </c>
      <c r="AI14" s="109">
        <v>3.0599999999999999E-2</v>
      </c>
      <c r="AJ14" s="109">
        <v>4.0399999999999998E-2</v>
      </c>
      <c r="AK14" s="109">
        <v>-0.13100000000000001</v>
      </c>
      <c r="AL14" s="109">
        <v>-0.1384</v>
      </c>
      <c r="AM14" s="109">
        <v>-0.2288</v>
      </c>
      <c r="AN14" s="109">
        <v>-0.40789999999999998</v>
      </c>
      <c r="AO14" s="109">
        <v>-0.1459</v>
      </c>
      <c r="AP14" s="109">
        <v>-0.29210000000000003</v>
      </c>
      <c r="AQ14" s="109">
        <v>0.2024</v>
      </c>
      <c r="AR14" s="109">
        <v>0.56369999999999998</v>
      </c>
      <c r="AS14" s="109">
        <v>-4.24E-2</v>
      </c>
      <c r="AT14" s="109">
        <v>-0.2051</v>
      </c>
      <c r="AU14" s="110">
        <v>-32919</v>
      </c>
      <c r="AV14" s="111">
        <v>-0.17100000000000001</v>
      </c>
      <c r="AW14" s="110">
        <v>-6381</v>
      </c>
      <c r="AX14" s="111">
        <v>-5.1999999999999998E-2</v>
      </c>
      <c r="AY14" s="110">
        <v>26358</v>
      </c>
      <c r="AZ14" s="111">
        <v>0.34699999999999998</v>
      </c>
      <c r="BA14" s="110">
        <v>23760</v>
      </c>
      <c r="BB14" s="111">
        <v>0.64100000000000001</v>
      </c>
      <c r="BC14" s="110">
        <v>25101</v>
      </c>
      <c r="BD14" s="111">
        <v>0.65600000000000003</v>
      </c>
      <c r="BE14" s="110">
        <v>22953</v>
      </c>
      <c r="BF14" s="111">
        <v>0.82099999999999995</v>
      </c>
      <c r="BG14" s="110">
        <v>10964</v>
      </c>
      <c r="BH14" s="111">
        <v>0.45800000000000002</v>
      </c>
      <c r="BI14" s="110">
        <v>346</v>
      </c>
      <c r="BJ14" s="111">
        <v>0.41499999999999998</v>
      </c>
      <c r="BK14" s="81">
        <v>4.5</v>
      </c>
      <c r="BL14" s="81">
        <v>5</v>
      </c>
      <c r="BM14" s="82">
        <f t="shared" si="1"/>
        <v>0.1111111111111111</v>
      </c>
      <c r="BN14" s="81">
        <v>4.4000000000000004</v>
      </c>
      <c r="BO14" s="81">
        <v>5.7</v>
      </c>
      <c r="BP14" s="82">
        <f t="shared" si="2"/>
        <v>-0.22807017543859645</v>
      </c>
      <c r="BQ14" s="80">
        <v>6637</v>
      </c>
      <c r="BR14" s="112">
        <v>9</v>
      </c>
      <c r="BS14" s="76"/>
      <c r="BT14" s="112">
        <v>5390</v>
      </c>
      <c r="BU14" s="76"/>
      <c r="BV14" s="83">
        <f t="shared" si="11"/>
        <v>0.81211390688564111</v>
      </c>
      <c r="BW14" s="76"/>
      <c r="BX14" s="108">
        <v>0.48499999999999999</v>
      </c>
      <c r="BY14" s="108">
        <v>0.42599999999999999</v>
      </c>
      <c r="BZ14" s="113">
        <f t="shared" si="4"/>
        <v>0.13849765258215962</v>
      </c>
      <c r="CA14" s="108">
        <v>4.3999999999999997E-2</v>
      </c>
      <c r="CB14" s="114">
        <v>35397</v>
      </c>
      <c r="CC14" s="114">
        <v>46015</v>
      </c>
      <c r="CD14" s="114">
        <v>68433</v>
      </c>
      <c r="CE14" s="108">
        <f t="shared" si="5"/>
        <v>0.29996892392010621</v>
      </c>
      <c r="CF14" s="108">
        <f t="shared" si="6"/>
        <v>0.93329943215526745</v>
      </c>
      <c r="CG14" s="78">
        <v>6306979863</v>
      </c>
      <c r="CH14" s="115">
        <v>283714</v>
      </c>
      <c r="CI14" s="116">
        <f t="shared" si="7"/>
        <v>22230.062185863229</v>
      </c>
      <c r="CJ14" s="78">
        <v>5098460826</v>
      </c>
      <c r="CK14" s="115">
        <v>367341</v>
      </c>
      <c r="CL14" s="116">
        <f t="shared" si="8"/>
        <v>13879.367742778508</v>
      </c>
      <c r="CM14" s="108">
        <f t="shared" si="9"/>
        <v>0.23703605426113358</v>
      </c>
      <c r="CN14" s="108">
        <f t="shared" si="10"/>
        <v>0.60166245306308153</v>
      </c>
      <c r="CO14" s="117">
        <v>7.44</v>
      </c>
      <c r="CP14" s="82">
        <v>-8.8999999999999996E-2</v>
      </c>
      <c r="CQ14" s="118">
        <v>-9.5000000000000001E-2</v>
      </c>
    </row>
    <row r="15" spans="1:95" ht="13" x14ac:dyDescent="0.3">
      <c r="A15" s="85" t="s">
        <v>87</v>
      </c>
      <c r="B15" s="86" t="s">
        <v>88</v>
      </c>
      <c r="C15" s="86" t="s">
        <v>52</v>
      </c>
      <c r="D15" s="94">
        <v>45985</v>
      </c>
      <c r="E15" s="87" t="s">
        <v>89</v>
      </c>
      <c r="F15" s="87" t="s">
        <v>318</v>
      </c>
      <c r="G15" s="86"/>
      <c r="H15" s="87" t="s">
        <v>308</v>
      </c>
      <c r="I15" s="86" t="s">
        <v>60</v>
      </c>
      <c r="J15" s="86" t="s">
        <v>60</v>
      </c>
      <c r="K15" s="86" t="s">
        <v>307</v>
      </c>
      <c r="L15" s="86" t="s">
        <v>307</v>
      </c>
      <c r="M15" s="86" t="s">
        <v>60</v>
      </c>
      <c r="N15" s="86" t="s">
        <v>60</v>
      </c>
      <c r="O15" s="88">
        <v>272255104</v>
      </c>
      <c r="P15" s="88">
        <v>13864947</v>
      </c>
      <c r="Q15" s="88">
        <v>39609045</v>
      </c>
      <c r="R15" s="88">
        <v>325729096</v>
      </c>
      <c r="S15" s="89">
        <f t="shared" si="0"/>
        <v>0.83583292786346608</v>
      </c>
      <c r="T15" s="90">
        <v>70844</v>
      </c>
      <c r="U15" s="86">
        <v>2</v>
      </c>
      <c r="V15" s="86">
        <v>2</v>
      </c>
      <c r="W15" s="86">
        <v>61796</v>
      </c>
      <c r="X15" s="86">
        <v>61796</v>
      </c>
      <c r="Y15" s="119">
        <v>1</v>
      </c>
      <c r="Z15" s="86">
        <v>14</v>
      </c>
      <c r="AA15" s="86">
        <v>1</v>
      </c>
      <c r="AB15" s="86">
        <v>181780</v>
      </c>
      <c r="AC15" s="86">
        <v>38167</v>
      </c>
      <c r="AD15" s="120">
        <v>0.21</v>
      </c>
      <c r="AE15" s="121">
        <v>-1.6500000000000001E-2</v>
      </c>
      <c r="AF15" s="121">
        <v>-4.4299999999999999E-2</v>
      </c>
      <c r="AG15" s="121">
        <v>0.86299999999999999</v>
      </c>
      <c r="AH15" s="121">
        <v>-0.44390000000000002</v>
      </c>
      <c r="AI15" s="121">
        <v>3.1E-2</v>
      </c>
      <c r="AJ15" s="121">
        <v>0.1108</v>
      </c>
      <c r="AK15" s="121">
        <v>-6.7699999999999996E-2</v>
      </c>
      <c r="AL15" s="121">
        <v>-0.1764</v>
      </c>
      <c r="AM15" s="121">
        <v>-0.20269999999999999</v>
      </c>
      <c r="AN15" s="121">
        <v>-0.49209999999999998</v>
      </c>
      <c r="AO15" s="121">
        <v>0.34760000000000002</v>
      </c>
      <c r="AP15" s="121">
        <v>0.1187</v>
      </c>
      <c r="AQ15" s="121">
        <v>0.4854</v>
      </c>
      <c r="AR15" s="121">
        <v>3.3637000000000001</v>
      </c>
      <c r="AS15" s="121">
        <v>-0.3886</v>
      </c>
      <c r="AT15" s="121">
        <v>-0.4375</v>
      </c>
      <c r="AU15" s="122">
        <v>-1410</v>
      </c>
      <c r="AV15" s="123">
        <v>-2.1999999999999999E-2</v>
      </c>
      <c r="AW15" s="122">
        <v>213</v>
      </c>
      <c r="AX15" s="123">
        <v>1E-3</v>
      </c>
      <c r="AY15" s="122">
        <v>5341</v>
      </c>
      <c r="AZ15" s="123">
        <v>0.32100000000000001</v>
      </c>
      <c r="BA15" s="122">
        <v>32794</v>
      </c>
      <c r="BB15" s="123">
        <v>0.64500000000000002</v>
      </c>
      <c r="BC15" s="122">
        <v>4804</v>
      </c>
      <c r="BD15" s="123">
        <v>0.56100000000000005</v>
      </c>
      <c r="BE15" s="122">
        <v>33273</v>
      </c>
      <c r="BF15" s="123">
        <v>0.80600000000000005</v>
      </c>
      <c r="BG15" s="122">
        <v>6913</v>
      </c>
      <c r="BH15" s="123">
        <v>0.41299999999999998</v>
      </c>
      <c r="BI15" s="122">
        <v>1162</v>
      </c>
      <c r="BJ15" s="123">
        <v>0.40300000000000002</v>
      </c>
      <c r="BK15" s="91">
        <v>3.4</v>
      </c>
      <c r="BL15" s="91">
        <v>4.2</v>
      </c>
      <c r="BM15" s="92">
        <f t="shared" si="1"/>
        <v>0.2352941176470589</v>
      </c>
      <c r="BN15" s="91">
        <v>4.7</v>
      </c>
      <c r="BO15" s="91">
        <v>4.8</v>
      </c>
      <c r="BP15" s="92">
        <f t="shared" si="2"/>
        <v>-2.0833333333333259E-2</v>
      </c>
      <c r="BQ15" s="90">
        <v>3442</v>
      </c>
      <c r="BR15" s="124">
        <v>14</v>
      </c>
      <c r="BS15" s="86"/>
      <c r="BT15" s="124">
        <v>4020</v>
      </c>
      <c r="BU15" s="86"/>
      <c r="BV15" s="93">
        <f t="shared" si="11"/>
        <v>1.167925624636839</v>
      </c>
      <c r="BW15" s="86"/>
      <c r="BX15" s="120">
        <v>0.40500000000000003</v>
      </c>
      <c r="BY15" s="120">
        <v>0.34399999999999997</v>
      </c>
      <c r="BZ15" s="125">
        <f t="shared" si="4"/>
        <v>0.17732558139534901</v>
      </c>
      <c r="CA15" s="120">
        <v>1.9E-2</v>
      </c>
      <c r="CB15" s="126">
        <v>36000</v>
      </c>
      <c r="CC15" s="126">
        <v>46146</v>
      </c>
      <c r="CD15" s="126">
        <v>57269</v>
      </c>
      <c r="CE15" s="120">
        <f t="shared" si="5"/>
        <v>0.28183333333333332</v>
      </c>
      <c r="CF15" s="120">
        <f t="shared" si="6"/>
        <v>0.59080555555555558</v>
      </c>
      <c r="CG15" s="88">
        <v>1912685216</v>
      </c>
      <c r="CH15" s="127">
        <v>243770</v>
      </c>
      <c r="CI15" s="128">
        <f t="shared" si="7"/>
        <v>7846.2699101612179</v>
      </c>
      <c r="CJ15" s="88">
        <v>1663061249</v>
      </c>
      <c r="CK15" s="127">
        <v>258570</v>
      </c>
      <c r="CL15" s="128">
        <f t="shared" si="8"/>
        <v>6431.7641219012257</v>
      </c>
      <c r="CM15" s="120">
        <f t="shared" si="9"/>
        <v>0.15009908212947604</v>
      </c>
      <c r="CN15" s="120">
        <f t="shared" si="10"/>
        <v>0.21992500991187861</v>
      </c>
      <c r="CO15" s="129">
        <v>4.9800000000000004</v>
      </c>
      <c r="CP15" s="92">
        <v>-0.185</v>
      </c>
      <c r="CQ15" s="130">
        <v>-0.219</v>
      </c>
    </row>
    <row r="16" spans="1:95" ht="13" x14ac:dyDescent="0.3">
      <c r="A16" s="75" t="s">
        <v>90</v>
      </c>
      <c r="B16" s="76" t="s">
        <v>91</v>
      </c>
      <c r="C16" s="76" t="s">
        <v>52</v>
      </c>
      <c r="D16" s="77"/>
      <c r="E16" s="77"/>
      <c r="F16" s="77"/>
      <c r="G16" s="76"/>
      <c r="H16" s="77" t="s">
        <v>310</v>
      </c>
      <c r="I16" s="76" t="s">
        <v>53</v>
      </c>
      <c r="J16" s="76" t="s">
        <v>53</v>
      </c>
      <c r="K16" s="76" t="s">
        <v>307</v>
      </c>
      <c r="L16" s="76" t="s">
        <v>307</v>
      </c>
      <c r="M16" s="76" t="s">
        <v>60</v>
      </c>
      <c r="N16" s="76" t="s">
        <v>60</v>
      </c>
      <c r="O16" s="78">
        <v>60167863</v>
      </c>
      <c r="P16" s="78">
        <v>30392052</v>
      </c>
      <c r="Q16" s="78"/>
      <c r="R16" s="78">
        <v>90559915</v>
      </c>
      <c r="S16" s="79">
        <f t="shared" si="0"/>
        <v>0.66439840408419115</v>
      </c>
      <c r="T16" s="80">
        <v>34646</v>
      </c>
      <c r="U16" s="76">
        <v>16</v>
      </c>
      <c r="V16" s="76">
        <v>2</v>
      </c>
      <c r="W16" s="76">
        <v>51865</v>
      </c>
      <c r="X16" s="76">
        <v>16039</v>
      </c>
      <c r="Y16" s="131">
        <v>0.309</v>
      </c>
      <c r="Z16" s="76">
        <v>3</v>
      </c>
      <c r="AA16" s="76">
        <v>0</v>
      </c>
      <c r="AB16" s="76">
        <v>52773</v>
      </c>
      <c r="AC16" s="76">
        <v>0</v>
      </c>
      <c r="AD16" s="108">
        <v>0</v>
      </c>
      <c r="AE16" s="109">
        <v>-0.12239999999999999</v>
      </c>
      <c r="AF16" s="109">
        <v>-6.9199999999999998E-2</v>
      </c>
      <c r="AG16" s="109">
        <v>-0.2208</v>
      </c>
      <c r="AH16" s="109">
        <v>-0.25240000000000001</v>
      </c>
      <c r="AI16" s="109">
        <v>1.54E-2</v>
      </c>
      <c r="AJ16" s="109">
        <v>7.5200000000000003E-2</v>
      </c>
      <c r="AK16" s="109">
        <v>-4.3499999999999997E-2</v>
      </c>
      <c r="AL16" s="109">
        <v>-0.24349999999999999</v>
      </c>
      <c r="AM16" s="109">
        <v>-0.14419999999999999</v>
      </c>
      <c r="AN16" s="109">
        <v>-0.32150000000000001</v>
      </c>
      <c r="AO16" s="109">
        <v>-3.78E-2</v>
      </c>
      <c r="AP16" s="109">
        <v>3.8699999999999998E-2</v>
      </c>
      <c r="AQ16" s="109">
        <v>0.1215</v>
      </c>
      <c r="AR16" s="109">
        <v>0.51629999999999998</v>
      </c>
      <c r="AS16" s="109">
        <v>-4.3700000000000003E-2</v>
      </c>
      <c r="AT16" s="109">
        <v>-0.25750000000000001</v>
      </c>
      <c r="AU16" s="110">
        <v>-5917</v>
      </c>
      <c r="AV16" s="111">
        <v>-0.10299999999999999</v>
      </c>
      <c r="AW16" s="110">
        <v>-8461</v>
      </c>
      <c r="AX16" s="111">
        <v>-0.14000000000000001</v>
      </c>
      <c r="AY16" s="110">
        <v>11110</v>
      </c>
      <c r="AZ16" s="111">
        <v>0.38700000000000001</v>
      </c>
      <c r="BA16" s="110">
        <v>12821</v>
      </c>
      <c r="BB16" s="111">
        <v>0.73399999999999999</v>
      </c>
      <c r="BC16" s="110">
        <v>10608</v>
      </c>
      <c r="BD16" s="111">
        <v>0.61199999999999999</v>
      </c>
      <c r="BE16" s="110">
        <v>11365</v>
      </c>
      <c r="BF16" s="111">
        <v>0.872</v>
      </c>
      <c r="BG16" s="110">
        <v>2847</v>
      </c>
      <c r="BH16" s="111">
        <v>0.433</v>
      </c>
      <c r="BI16" s="110">
        <v>138</v>
      </c>
      <c r="BJ16" s="111">
        <v>0.71299999999999997</v>
      </c>
      <c r="BK16" s="81">
        <v>2.9</v>
      </c>
      <c r="BL16" s="81">
        <v>3</v>
      </c>
      <c r="BM16" s="82">
        <f t="shared" si="1"/>
        <v>3.4482758620689689E-2</v>
      </c>
      <c r="BN16" s="81">
        <v>4.2</v>
      </c>
      <c r="BO16" s="81">
        <v>4.9000000000000004</v>
      </c>
      <c r="BP16" s="82">
        <f t="shared" si="2"/>
        <v>-0.14285714285714288</v>
      </c>
      <c r="BQ16" s="80">
        <v>1573</v>
      </c>
      <c r="BR16" s="112">
        <v>10</v>
      </c>
      <c r="BS16" s="76"/>
      <c r="BT16" s="112">
        <v>1460</v>
      </c>
      <c r="BU16" s="76"/>
      <c r="BV16" s="83">
        <f t="shared" si="11"/>
        <v>0.92816274634456453</v>
      </c>
      <c r="BW16" s="76"/>
      <c r="BX16" s="108">
        <v>0.46600000000000003</v>
      </c>
      <c r="BY16" s="108">
        <v>0.41699999999999998</v>
      </c>
      <c r="BZ16" s="113">
        <f t="shared" si="4"/>
        <v>0.11750599520383705</v>
      </c>
      <c r="CA16" s="108">
        <v>0.01</v>
      </c>
      <c r="CB16" s="114">
        <v>38000</v>
      </c>
      <c r="CC16" s="114">
        <v>48000</v>
      </c>
      <c r="CD16" s="114">
        <v>60000</v>
      </c>
      <c r="CE16" s="108">
        <f t="shared" si="5"/>
        <v>0.26315789473684209</v>
      </c>
      <c r="CF16" s="108">
        <f t="shared" si="6"/>
        <v>0.57894736842105265</v>
      </c>
      <c r="CG16" s="78">
        <v>922653296</v>
      </c>
      <c r="CH16" s="115">
        <v>116744</v>
      </c>
      <c r="CI16" s="116">
        <f t="shared" si="7"/>
        <v>7903.2181182758859</v>
      </c>
      <c r="CJ16" s="78">
        <v>895761054</v>
      </c>
      <c r="CK16" s="115">
        <v>128711</v>
      </c>
      <c r="CL16" s="116">
        <f t="shared" si="8"/>
        <v>6959.4755226825991</v>
      </c>
      <c r="CM16" s="108">
        <f t="shared" si="9"/>
        <v>3.0021669149281859E-2</v>
      </c>
      <c r="CN16" s="108">
        <f t="shared" si="10"/>
        <v>0.13560541918962188</v>
      </c>
      <c r="CO16" s="117">
        <v>4.9000000000000004</v>
      </c>
      <c r="CP16" s="82">
        <v>-0.184</v>
      </c>
      <c r="CQ16" s="118">
        <v>-0.23799999999999999</v>
      </c>
    </row>
    <row r="17" spans="1:95" ht="13" x14ac:dyDescent="0.3">
      <c r="A17" s="85" t="s">
        <v>92</v>
      </c>
      <c r="B17" s="86" t="s">
        <v>93</v>
      </c>
      <c r="C17" s="86" t="s">
        <v>52</v>
      </c>
      <c r="D17" s="87"/>
      <c r="E17" s="87"/>
      <c r="F17" s="87"/>
      <c r="G17" s="86"/>
      <c r="H17" s="87" t="s">
        <v>306</v>
      </c>
      <c r="I17" s="86" t="s">
        <v>60</v>
      </c>
      <c r="J17" s="86" t="s">
        <v>60</v>
      </c>
      <c r="K17" s="86" t="s">
        <v>311</v>
      </c>
      <c r="L17" s="86" t="s">
        <v>307</v>
      </c>
      <c r="M17" s="86" t="s">
        <v>60</v>
      </c>
      <c r="N17" s="86" t="s">
        <v>60</v>
      </c>
      <c r="O17" s="88">
        <v>36709446</v>
      </c>
      <c r="P17" s="88">
        <v>20000</v>
      </c>
      <c r="Q17" s="88">
        <v>13403177</v>
      </c>
      <c r="R17" s="88">
        <v>50132623</v>
      </c>
      <c r="S17" s="89">
        <f t="shared" si="0"/>
        <v>0.73224666501092517</v>
      </c>
      <c r="T17" s="90">
        <v>34170</v>
      </c>
      <c r="U17" s="86">
        <v>25</v>
      </c>
      <c r="V17" s="86">
        <v>8</v>
      </c>
      <c r="W17" s="86">
        <v>45397</v>
      </c>
      <c r="X17" s="86">
        <v>24014</v>
      </c>
      <c r="Y17" s="119">
        <v>0.52900000000000003</v>
      </c>
      <c r="Z17" s="86">
        <v>8</v>
      </c>
      <c r="AA17" s="86">
        <v>0</v>
      </c>
      <c r="AB17" s="86">
        <v>60405</v>
      </c>
      <c r="AC17" s="86">
        <v>0</v>
      </c>
      <c r="AD17" s="120">
        <v>0</v>
      </c>
      <c r="AE17" s="121">
        <v>-0.11600000000000001</v>
      </c>
      <c r="AF17" s="121">
        <v>-0.15079999999999999</v>
      </c>
      <c r="AG17" s="121">
        <v>-0.1217</v>
      </c>
      <c r="AH17" s="121">
        <v>-3.1899999999999998E-2</v>
      </c>
      <c r="AI17" s="121">
        <v>5.79E-2</v>
      </c>
      <c r="AJ17" s="121">
        <v>0.1797</v>
      </c>
      <c r="AK17" s="121">
        <v>-3.9399999999999998E-2</v>
      </c>
      <c r="AL17" s="121">
        <v>-0.33500000000000002</v>
      </c>
      <c r="AM17" s="121">
        <v>-0.13150000000000001</v>
      </c>
      <c r="AN17" s="121">
        <v>-0.24310000000000001</v>
      </c>
      <c r="AO17" s="121">
        <v>-9.4299999999999995E-2</v>
      </c>
      <c r="AP17" s="121">
        <v>-0.1042</v>
      </c>
      <c r="AQ17" s="121">
        <v>0.12670000000000001</v>
      </c>
      <c r="AR17" s="121">
        <v>0.3261</v>
      </c>
      <c r="AS17" s="121">
        <v>-0.104</v>
      </c>
      <c r="AT17" s="121">
        <v>-0.15210000000000001</v>
      </c>
      <c r="AU17" s="122">
        <v>-6814</v>
      </c>
      <c r="AV17" s="123">
        <v>-0.13200000000000001</v>
      </c>
      <c r="AW17" s="122">
        <v>-8173</v>
      </c>
      <c r="AX17" s="123">
        <v>-0.122</v>
      </c>
      <c r="AY17" s="122">
        <v>9831</v>
      </c>
      <c r="AZ17" s="123">
        <v>0.38300000000000001</v>
      </c>
      <c r="BA17" s="122">
        <v>12409</v>
      </c>
      <c r="BB17" s="123">
        <v>0.61599999999999999</v>
      </c>
      <c r="BC17" s="122">
        <v>9399</v>
      </c>
      <c r="BD17" s="123">
        <v>0.59099999999999997</v>
      </c>
      <c r="BE17" s="122">
        <v>11462</v>
      </c>
      <c r="BF17" s="123">
        <v>0.80100000000000005</v>
      </c>
      <c r="BG17" s="122">
        <v>3208</v>
      </c>
      <c r="BH17" s="123">
        <v>0.38600000000000001</v>
      </c>
      <c r="BI17" s="122">
        <v>314</v>
      </c>
      <c r="BJ17" s="123">
        <v>0.44700000000000001</v>
      </c>
      <c r="BK17" s="91">
        <v>2.9</v>
      </c>
      <c r="BL17" s="91">
        <v>3.6</v>
      </c>
      <c r="BM17" s="92">
        <f t="shared" si="1"/>
        <v>0.24137931034482765</v>
      </c>
      <c r="BN17" s="91">
        <v>4.8</v>
      </c>
      <c r="BO17" s="91">
        <v>5.2</v>
      </c>
      <c r="BP17" s="92">
        <f t="shared" si="2"/>
        <v>-7.6923076923076983E-2</v>
      </c>
      <c r="BQ17" s="90">
        <v>1446</v>
      </c>
      <c r="BR17" s="124">
        <v>9</v>
      </c>
      <c r="BS17" s="86"/>
      <c r="BT17" s="124">
        <v>1080</v>
      </c>
      <c r="BU17" s="86"/>
      <c r="BV17" s="93">
        <f t="shared" si="11"/>
        <v>0.74688796680497926</v>
      </c>
      <c r="BW17" s="86"/>
      <c r="BX17" s="120">
        <v>0.46100000000000002</v>
      </c>
      <c r="BY17" s="120">
        <v>0.41399999999999998</v>
      </c>
      <c r="BZ17" s="125">
        <f t="shared" si="4"/>
        <v>0.11352657004830928</v>
      </c>
      <c r="CA17" s="120">
        <v>0.01</v>
      </c>
      <c r="CB17" s="126">
        <v>34361</v>
      </c>
      <c r="CC17" s="126">
        <v>45000</v>
      </c>
      <c r="CD17" s="126">
        <v>60000</v>
      </c>
      <c r="CE17" s="120">
        <f t="shared" si="5"/>
        <v>0.30962428334448938</v>
      </c>
      <c r="CF17" s="120">
        <f t="shared" si="6"/>
        <v>0.74616571112598584</v>
      </c>
      <c r="CG17" s="88">
        <v>1321941220</v>
      </c>
      <c r="CH17" s="127">
        <v>122736</v>
      </c>
      <c r="CI17" s="128">
        <f t="shared" si="7"/>
        <v>10770.606993873029</v>
      </c>
      <c r="CJ17" s="88">
        <v>977295804</v>
      </c>
      <c r="CK17" s="127">
        <v>141648</v>
      </c>
      <c r="CL17" s="128">
        <f t="shared" si="8"/>
        <v>6899.4677228058281</v>
      </c>
      <c r="CM17" s="120">
        <f t="shared" si="9"/>
        <v>0.35265209836099942</v>
      </c>
      <c r="CN17" s="120">
        <f t="shared" si="10"/>
        <v>0.5610779594303128</v>
      </c>
      <c r="CO17" s="129">
        <v>7.2</v>
      </c>
      <c r="CP17" s="92">
        <v>-1.9E-2</v>
      </c>
      <c r="CQ17" s="130">
        <v>-6.5000000000000002E-2</v>
      </c>
    </row>
    <row r="18" spans="1:95" ht="13" x14ac:dyDescent="0.3">
      <c r="A18" s="75" t="s">
        <v>94</v>
      </c>
      <c r="B18" s="76" t="s">
        <v>95</v>
      </c>
      <c r="C18" s="76" t="s">
        <v>52</v>
      </c>
      <c r="D18" s="77"/>
      <c r="E18" s="77"/>
      <c r="F18" s="77"/>
      <c r="G18" s="76"/>
      <c r="H18" s="77" t="s">
        <v>308</v>
      </c>
      <c r="I18" s="76" t="s">
        <v>60</v>
      </c>
      <c r="J18" s="76" t="s">
        <v>60</v>
      </c>
      <c r="K18" s="76" t="s">
        <v>311</v>
      </c>
      <c r="L18" s="76" t="s">
        <v>307</v>
      </c>
      <c r="M18" s="76" t="s">
        <v>60</v>
      </c>
      <c r="N18" s="76" t="s">
        <v>60</v>
      </c>
      <c r="O18" s="78">
        <v>206493638</v>
      </c>
      <c r="P18" s="78">
        <v>160833506</v>
      </c>
      <c r="Q18" s="78">
        <v>758298</v>
      </c>
      <c r="R18" s="78">
        <v>368085442</v>
      </c>
      <c r="S18" s="79">
        <f t="shared" si="0"/>
        <v>0.56099376513782362</v>
      </c>
      <c r="T18" s="80">
        <v>46427</v>
      </c>
      <c r="U18" s="76">
        <v>16</v>
      </c>
      <c r="V18" s="76">
        <v>2</v>
      </c>
      <c r="W18" s="76">
        <v>40272</v>
      </c>
      <c r="X18" s="76">
        <v>7478</v>
      </c>
      <c r="Y18" s="131">
        <v>0.186</v>
      </c>
      <c r="Z18" s="76">
        <v>8</v>
      </c>
      <c r="AA18" s="76">
        <v>1</v>
      </c>
      <c r="AB18" s="76">
        <v>78597</v>
      </c>
      <c r="AC18" s="76">
        <v>1573</v>
      </c>
      <c r="AD18" s="108">
        <v>0.02</v>
      </c>
      <c r="AE18" s="109">
        <v>-6.6500000000000004E-2</v>
      </c>
      <c r="AF18" s="109">
        <v>-0.1203</v>
      </c>
      <c r="AG18" s="109">
        <v>-2.98E-2</v>
      </c>
      <c r="AH18" s="109">
        <v>2.5999999999999999E-3</v>
      </c>
      <c r="AI18" s="109">
        <v>8.0199999999999994E-2</v>
      </c>
      <c r="AJ18" s="109">
        <v>0.19550000000000001</v>
      </c>
      <c r="AK18" s="109">
        <v>-0.42199999999999999</v>
      </c>
      <c r="AL18" s="109">
        <v>-0.2109</v>
      </c>
      <c r="AM18" s="109">
        <v>-0.17530000000000001</v>
      </c>
      <c r="AN18" s="109">
        <v>-0.36759999999999998</v>
      </c>
      <c r="AO18" s="109">
        <v>2.5999999999999999E-2</v>
      </c>
      <c r="AP18" s="109">
        <v>-7.8200000000000006E-2</v>
      </c>
      <c r="AQ18" s="109">
        <v>0.30399999999999999</v>
      </c>
      <c r="AR18" s="109">
        <v>0.88770000000000004</v>
      </c>
      <c r="AS18" s="109">
        <v>-0.12239999999999999</v>
      </c>
      <c r="AT18" s="109">
        <v>-0.13420000000000001</v>
      </c>
      <c r="AU18" s="110">
        <v>-3202</v>
      </c>
      <c r="AV18" s="111">
        <v>-7.1999999999999995E-2</v>
      </c>
      <c r="AW18" s="110">
        <v>-5375</v>
      </c>
      <c r="AX18" s="111">
        <v>-6.5000000000000002E-2</v>
      </c>
      <c r="AY18" s="110">
        <v>8077</v>
      </c>
      <c r="AZ18" s="111">
        <v>0.41799999999999998</v>
      </c>
      <c r="BA18" s="110">
        <v>17441</v>
      </c>
      <c r="BB18" s="111">
        <v>0.59099999999999997</v>
      </c>
      <c r="BC18" s="110">
        <v>7337</v>
      </c>
      <c r="BD18" s="111">
        <v>0.628</v>
      </c>
      <c r="BE18" s="110">
        <v>16403</v>
      </c>
      <c r="BF18" s="111">
        <v>0.78600000000000003</v>
      </c>
      <c r="BG18" s="110">
        <v>3729</v>
      </c>
      <c r="BH18" s="111">
        <v>0.44500000000000001</v>
      </c>
      <c r="BI18" s="110">
        <v>585</v>
      </c>
      <c r="BJ18" s="111">
        <v>0.40799999999999997</v>
      </c>
      <c r="BK18" s="81">
        <v>4.3</v>
      </c>
      <c r="BL18" s="81">
        <v>5.0999999999999996</v>
      </c>
      <c r="BM18" s="82">
        <f t="shared" si="1"/>
        <v>0.18604651162790695</v>
      </c>
      <c r="BN18" s="81">
        <v>6.5</v>
      </c>
      <c r="BO18" s="81">
        <v>5.4</v>
      </c>
      <c r="BP18" s="82">
        <f t="shared" si="2"/>
        <v>0.20370370370370364</v>
      </c>
      <c r="BQ18" s="80">
        <v>2309</v>
      </c>
      <c r="BR18" s="112">
        <v>15</v>
      </c>
      <c r="BS18" s="76"/>
      <c r="BT18" s="112">
        <v>2870</v>
      </c>
      <c r="BU18" s="76"/>
      <c r="BV18" s="83">
        <f t="shared" si="11"/>
        <v>1.2429623213512344</v>
      </c>
      <c r="BW18" s="76"/>
      <c r="BX18" s="108">
        <v>0.38300000000000001</v>
      </c>
      <c r="BY18" s="108">
        <v>0.316</v>
      </c>
      <c r="BZ18" s="113">
        <f t="shared" si="4"/>
        <v>0.21202531645569622</v>
      </c>
      <c r="CA18" s="108">
        <v>1.4999999999999999E-2</v>
      </c>
      <c r="CB18" s="114">
        <v>32000</v>
      </c>
      <c r="CC18" s="114">
        <v>41869</v>
      </c>
      <c r="CD18" s="114">
        <v>56000</v>
      </c>
      <c r="CE18" s="108">
        <f t="shared" si="5"/>
        <v>0.30840624999999999</v>
      </c>
      <c r="CF18" s="108">
        <f t="shared" si="6"/>
        <v>0.75</v>
      </c>
      <c r="CG18" s="78">
        <v>1484756400</v>
      </c>
      <c r="CH18" s="115">
        <v>139104</v>
      </c>
      <c r="CI18" s="116">
        <f t="shared" si="7"/>
        <v>10673.714630779848</v>
      </c>
      <c r="CJ18" s="78">
        <v>1212793600</v>
      </c>
      <c r="CK18" s="115">
        <v>157812</v>
      </c>
      <c r="CL18" s="116">
        <f t="shared" si="8"/>
        <v>7685.0531011583407</v>
      </c>
      <c r="CM18" s="108">
        <f t="shared" si="9"/>
        <v>0.22424491685971959</v>
      </c>
      <c r="CN18" s="108">
        <f t="shared" si="10"/>
        <v>0.38889276238976639</v>
      </c>
      <c r="CO18" s="117">
        <v>5.72</v>
      </c>
      <c r="CP18" s="82">
        <v>-0.152</v>
      </c>
      <c r="CQ18" s="118">
        <v>-0.311</v>
      </c>
    </row>
    <row r="19" spans="1:95" ht="13" x14ac:dyDescent="0.3">
      <c r="A19" s="85" t="s">
        <v>96</v>
      </c>
      <c r="B19" s="86" t="s">
        <v>97</v>
      </c>
      <c r="C19" s="86" t="s">
        <v>52</v>
      </c>
      <c r="D19" s="87"/>
      <c r="E19" s="87"/>
      <c r="F19" s="87"/>
      <c r="G19" s="86"/>
      <c r="H19" s="87" t="s">
        <v>308</v>
      </c>
      <c r="I19" s="86" t="s">
        <v>60</v>
      </c>
      <c r="J19" s="86" t="s">
        <v>60</v>
      </c>
      <c r="K19" s="86" t="s">
        <v>307</v>
      </c>
      <c r="L19" s="86" t="s">
        <v>307</v>
      </c>
      <c r="M19" s="86" t="s">
        <v>60</v>
      </c>
      <c r="N19" s="86" t="s">
        <v>60</v>
      </c>
      <c r="O19" s="88">
        <v>55349648</v>
      </c>
      <c r="P19" s="88">
        <v>289764131</v>
      </c>
      <c r="Q19" s="88">
        <v>672000</v>
      </c>
      <c r="R19" s="88">
        <v>345785779</v>
      </c>
      <c r="S19" s="89">
        <f t="shared" si="0"/>
        <v>0.16006918549417845</v>
      </c>
      <c r="T19" s="90">
        <v>41455</v>
      </c>
      <c r="U19" s="86">
        <v>14</v>
      </c>
      <c r="V19" s="86">
        <v>11</v>
      </c>
      <c r="W19" s="86">
        <v>39129</v>
      </c>
      <c r="X19" s="86">
        <v>35015</v>
      </c>
      <c r="Y19" s="119">
        <v>0.89500000000000002</v>
      </c>
      <c r="Z19" s="86">
        <v>17</v>
      </c>
      <c r="AA19" s="86">
        <v>5</v>
      </c>
      <c r="AB19" s="86">
        <v>99975</v>
      </c>
      <c r="AC19" s="86">
        <v>15880</v>
      </c>
      <c r="AD19" s="120">
        <v>0.159</v>
      </c>
      <c r="AE19" s="121">
        <v>-5.2999999999999999E-2</v>
      </c>
      <c r="AF19" s="121">
        <v>-3.5499999999999997E-2</v>
      </c>
      <c r="AG19" s="121">
        <v>0.1109</v>
      </c>
      <c r="AH19" s="121">
        <v>0.1573</v>
      </c>
      <c r="AI19" s="121">
        <v>1.5900000000000001E-2</v>
      </c>
      <c r="AJ19" s="121">
        <v>0.12770000000000001</v>
      </c>
      <c r="AK19" s="121">
        <v>-8.1100000000000005E-2</v>
      </c>
      <c r="AL19" s="121">
        <v>2.2700000000000001E-2</v>
      </c>
      <c r="AM19" s="121">
        <v>-0.1812</v>
      </c>
      <c r="AN19" s="121">
        <v>-0.2379</v>
      </c>
      <c r="AO19" s="121">
        <v>5.11E-2</v>
      </c>
      <c r="AP19" s="121">
        <v>1.6799999999999999E-2</v>
      </c>
      <c r="AQ19" s="121">
        <v>0.22339999999999999</v>
      </c>
      <c r="AR19" s="121">
        <v>0.65290000000000004</v>
      </c>
      <c r="AS19" s="121">
        <v>0.2354</v>
      </c>
      <c r="AT19" s="121">
        <v>0.1236</v>
      </c>
      <c r="AU19" s="122">
        <v>-3913</v>
      </c>
      <c r="AV19" s="123">
        <v>-9.0999999999999998E-2</v>
      </c>
      <c r="AW19" s="122">
        <v>-5123</v>
      </c>
      <c r="AX19" s="123">
        <v>-4.9000000000000002E-2</v>
      </c>
      <c r="AY19" s="122">
        <v>8070</v>
      </c>
      <c r="AZ19" s="123">
        <v>0.25700000000000001</v>
      </c>
      <c r="BA19" s="122">
        <v>20755</v>
      </c>
      <c r="BB19" s="123">
        <v>0.52200000000000002</v>
      </c>
      <c r="BC19" s="122">
        <v>7378</v>
      </c>
      <c r="BD19" s="123">
        <v>0.53700000000000003</v>
      </c>
      <c r="BE19" s="122">
        <v>21164</v>
      </c>
      <c r="BF19" s="123">
        <v>0.746</v>
      </c>
      <c r="BG19" s="122">
        <v>3201</v>
      </c>
      <c r="BH19" s="123">
        <v>0.315</v>
      </c>
      <c r="BI19" s="122">
        <v>1019</v>
      </c>
      <c r="BJ19" s="123">
        <v>0.47499999999999998</v>
      </c>
      <c r="BK19" s="91">
        <v>3.7</v>
      </c>
      <c r="BL19" s="91">
        <v>4.4000000000000004</v>
      </c>
      <c r="BM19" s="92">
        <f t="shared" si="1"/>
        <v>0.18918918918918923</v>
      </c>
      <c r="BN19" s="91">
        <v>5.4</v>
      </c>
      <c r="BO19" s="91">
        <v>5.9</v>
      </c>
      <c r="BP19" s="92">
        <f t="shared" si="2"/>
        <v>-8.4745762711864403E-2</v>
      </c>
      <c r="BQ19" s="90">
        <v>2358</v>
      </c>
      <c r="BR19" s="124">
        <v>12</v>
      </c>
      <c r="BS19" s="86"/>
      <c r="BT19" s="124">
        <v>2620</v>
      </c>
      <c r="BU19" s="86" t="s">
        <v>665</v>
      </c>
      <c r="BV19" s="93">
        <f t="shared" si="11"/>
        <v>1.1111111111111112</v>
      </c>
      <c r="BW19" s="86"/>
      <c r="BX19" s="120">
        <v>0.35199999999999998</v>
      </c>
      <c r="BY19" s="120">
        <v>0.28999999999999998</v>
      </c>
      <c r="BZ19" s="125">
        <f t="shared" si="4"/>
        <v>0.21379310344827587</v>
      </c>
      <c r="CA19" s="120">
        <v>1.2E-2</v>
      </c>
      <c r="CB19" s="126">
        <v>31238</v>
      </c>
      <c r="CC19" s="126">
        <v>44120</v>
      </c>
      <c r="CD19" s="126">
        <v>56000</v>
      </c>
      <c r="CE19" s="120">
        <f t="shared" si="5"/>
        <v>0.41238235482425251</v>
      </c>
      <c r="CF19" s="120">
        <f t="shared" si="6"/>
        <v>0.79268839234265953</v>
      </c>
      <c r="CG19" s="88">
        <v>1472122361</v>
      </c>
      <c r="CH19" s="127">
        <v>164604</v>
      </c>
      <c r="CI19" s="128">
        <f t="shared" si="7"/>
        <v>8943.4179060047136</v>
      </c>
      <c r="CJ19" s="88">
        <v>1125250832</v>
      </c>
      <c r="CK19" s="127">
        <v>173299</v>
      </c>
      <c r="CL19" s="128">
        <f t="shared" si="8"/>
        <v>6493.1178598837851</v>
      </c>
      <c r="CM19" s="120">
        <f t="shared" si="9"/>
        <v>0.30826151746404573</v>
      </c>
      <c r="CN19" s="120">
        <f t="shared" si="10"/>
        <v>0.3773687924655636</v>
      </c>
      <c r="CO19" s="129">
        <v>5.48</v>
      </c>
      <c r="CP19" s="92">
        <v>-6.0000000000000001E-3</v>
      </c>
      <c r="CQ19" s="130">
        <v>-0.215</v>
      </c>
    </row>
    <row r="20" spans="1:95" ht="13" x14ac:dyDescent="0.3">
      <c r="A20" s="75" t="s">
        <v>98</v>
      </c>
      <c r="B20" s="76" t="s">
        <v>99</v>
      </c>
      <c r="C20" s="76" t="s">
        <v>52</v>
      </c>
      <c r="D20" s="77"/>
      <c r="E20" s="77"/>
      <c r="F20" s="77"/>
      <c r="G20" s="76"/>
      <c r="H20" s="77" t="s">
        <v>313</v>
      </c>
      <c r="I20" s="76" t="s">
        <v>53</v>
      </c>
      <c r="J20" s="76" t="s">
        <v>53</v>
      </c>
      <c r="K20" s="76" t="s">
        <v>311</v>
      </c>
      <c r="L20" s="76" t="s">
        <v>311</v>
      </c>
      <c r="M20" s="76" t="s">
        <v>60</v>
      </c>
      <c r="N20" s="76" t="s">
        <v>60</v>
      </c>
      <c r="O20" s="78">
        <v>26103521</v>
      </c>
      <c r="P20" s="78">
        <v>737500</v>
      </c>
      <c r="Q20" s="78">
        <v>1773575</v>
      </c>
      <c r="R20" s="78">
        <v>28614596</v>
      </c>
      <c r="S20" s="79">
        <f t="shared" si="0"/>
        <v>0.91224496057885984</v>
      </c>
      <c r="T20" s="80">
        <v>12671</v>
      </c>
      <c r="U20" s="76">
        <v>7</v>
      </c>
      <c r="V20" s="76">
        <v>5</v>
      </c>
      <c r="W20" s="76">
        <v>8979</v>
      </c>
      <c r="X20" s="76">
        <v>7574</v>
      </c>
      <c r="Y20" s="131">
        <v>0.84299999999999997</v>
      </c>
      <c r="Z20" s="76">
        <v>7</v>
      </c>
      <c r="AA20" s="76">
        <v>2</v>
      </c>
      <c r="AB20" s="76">
        <v>19909</v>
      </c>
      <c r="AC20" s="76">
        <v>3555</v>
      </c>
      <c r="AD20" s="108">
        <v>0.17899999999999999</v>
      </c>
      <c r="AE20" s="109">
        <v>-0.10979999999999999</v>
      </c>
      <c r="AF20" s="109">
        <v>-0.14149999999999999</v>
      </c>
      <c r="AG20" s="109">
        <v>0.1389</v>
      </c>
      <c r="AH20" s="109">
        <v>0.1615</v>
      </c>
      <c r="AI20" s="109">
        <v>1.2699999999999999E-2</v>
      </c>
      <c r="AJ20" s="109">
        <v>3.78E-2</v>
      </c>
      <c r="AK20" s="109">
        <v>-0.17330000000000001</v>
      </c>
      <c r="AL20" s="109">
        <v>-0.11169999999999999</v>
      </c>
      <c r="AM20" s="109">
        <v>-2.01E-2</v>
      </c>
      <c r="AN20" s="109">
        <v>-0.2621</v>
      </c>
      <c r="AO20" s="109">
        <v>2.8299999999999999E-2</v>
      </c>
      <c r="AP20" s="109">
        <v>6.5299999999999997E-2</v>
      </c>
      <c r="AQ20" s="109">
        <v>6.2300000000000001E-2</v>
      </c>
      <c r="AR20" s="109">
        <v>0.30730000000000002</v>
      </c>
      <c r="AS20" s="109">
        <v>-0.1507</v>
      </c>
      <c r="AT20" s="109">
        <v>-3.0300000000000001E-2</v>
      </c>
      <c r="AU20" s="110">
        <v>71</v>
      </c>
      <c r="AV20" s="111">
        <v>7.0000000000000001E-3</v>
      </c>
      <c r="AW20" s="110">
        <v>-1652</v>
      </c>
      <c r="AX20" s="111">
        <v>-0.08</v>
      </c>
      <c r="AY20" s="110">
        <v>2170</v>
      </c>
      <c r="AZ20" s="111">
        <v>0.26900000000000002</v>
      </c>
      <c r="BA20" s="110">
        <v>4111</v>
      </c>
      <c r="BB20" s="111">
        <v>0.51100000000000001</v>
      </c>
      <c r="BC20" s="110">
        <v>1966</v>
      </c>
      <c r="BD20" s="111">
        <v>0.55100000000000005</v>
      </c>
      <c r="BE20" s="110">
        <v>3968</v>
      </c>
      <c r="BF20" s="111">
        <v>0.72799999999999998</v>
      </c>
      <c r="BG20" s="110">
        <v>950</v>
      </c>
      <c r="BH20" s="111">
        <v>0.432</v>
      </c>
      <c r="BI20" s="110">
        <v>157</v>
      </c>
      <c r="BJ20" s="111">
        <v>0.40899999999999997</v>
      </c>
      <c r="BK20" s="81">
        <v>2.6</v>
      </c>
      <c r="BL20" s="81">
        <v>3.1</v>
      </c>
      <c r="BM20" s="82">
        <f t="shared" si="1"/>
        <v>0.19230769230769229</v>
      </c>
      <c r="BN20" s="81">
        <v>4.9000000000000004</v>
      </c>
      <c r="BO20" s="81">
        <v>6</v>
      </c>
      <c r="BP20" s="82">
        <f t="shared" si="2"/>
        <v>-0.18333333333333326</v>
      </c>
      <c r="BQ20" s="76">
        <v>715</v>
      </c>
      <c r="BR20" s="112">
        <v>10</v>
      </c>
      <c r="BS20" s="76"/>
      <c r="BT20" s="112">
        <v>630</v>
      </c>
      <c r="BU20" s="76"/>
      <c r="BV20" s="83">
        <f t="shared" si="11"/>
        <v>0.88111888111888115</v>
      </c>
      <c r="BW20" s="76"/>
      <c r="BX20" s="108">
        <v>0.46800000000000003</v>
      </c>
      <c r="BY20" s="108">
        <v>0.40300000000000002</v>
      </c>
      <c r="BZ20" s="113">
        <f t="shared" si="4"/>
        <v>0.16129032258064516</v>
      </c>
      <c r="CA20" s="108">
        <v>3.0000000000000001E-3</v>
      </c>
      <c r="CB20" s="114">
        <v>35116</v>
      </c>
      <c r="CC20" s="114">
        <v>47195</v>
      </c>
      <c r="CD20" s="114">
        <v>55186</v>
      </c>
      <c r="CE20" s="108">
        <f t="shared" si="5"/>
        <v>0.34397425674906024</v>
      </c>
      <c r="CF20" s="108">
        <f t="shared" si="6"/>
        <v>0.57153434331928465</v>
      </c>
      <c r="CG20" s="78">
        <v>377561109</v>
      </c>
      <c r="CH20" s="115">
        <v>32293</v>
      </c>
      <c r="CI20" s="116">
        <f t="shared" si="7"/>
        <v>11691.73223299167</v>
      </c>
      <c r="CJ20" s="78">
        <v>271864121</v>
      </c>
      <c r="CK20" s="115">
        <v>36577</v>
      </c>
      <c r="CL20" s="116">
        <f t="shared" si="8"/>
        <v>7432.6522404789894</v>
      </c>
      <c r="CM20" s="108">
        <f t="shared" si="9"/>
        <v>0.38878608773829337</v>
      </c>
      <c r="CN20" s="108">
        <f t="shared" si="10"/>
        <v>0.57302290685918178</v>
      </c>
      <c r="CO20" s="117">
        <v>4.22</v>
      </c>
      <c r="CP20" s="82">
        <v>-0.17399999999999999</v>
      </c>
      <c r="CQ20" s="118">
        <v>-0.18099999999999999</v>
      </c>
    </row>
    <row r="21" spans="1:95" ht="13" x14ac:dyDescent="0.3">
      <c r="A21" s="85" t="s">
        <v>100</v>
      </c>
      <c r="B21" s="86" t="s">
        <v>101</v>
      </c>
      <c r="C21" s="86" t="s">
        <v>52</v>
      </c>
      <c r="D21" s="87" t="s">
        <v>102</v>
      </c>
      <c r="E21" s="87" t="s">
        <v>103</v>
      </c>
      <c r="F21" s="87" t="s">
        <v>320</v>
      </c>
      <c r="G21" s="86" t="s">
        <v>321</v>
      </c>
      <c r="H21" s="87" t="s">
        <v>308</v>
      </c>
      <c r="I21" s="86" t="s">
        <v>53</v>
      </c>
      <c r="J21" s="86" t="s">
        <v>53</v>
      </c>
      <c r="K21" s="86" t="s">
        <v>311</v>
      </c>
      <c r="L21" s="86" t="s">
        <v>311</v>
      </c>
      <c r="M21" s="86" t="s">
        <v>60</v>
      </c>
      <c r="N21" s="86" t="s">
        <v>60</v>
      </c>
      <c r="O21" s="88">
        <v>126752379</v>
      </c>
      <c r="P21" s="88">
        <v>5160438</v>
      </c>
      <c r="Q21" s="88">
        <v>508173</v>
      </c>
      <c r="R21" s="88">
        <v>132420990</v>
      </c>
      <c r="S21" s="89">
        <f t="shared" si="0"/>
        <v>0.95719250399804445</v>
      </c>
      <c r="T21" s="90">
        <v>60273</v>
      </c>
      <c r="U21" s="86">
        <v>16</v>
      </c>
      <c r="V21" s="86">
        <v>14</v>
      </c>
      <c r="W21" s="86">
        <v>61304</v>
      </c>
      <c r="X21" s="86">
        <v>58112</v>
      </c>
      <c r="Y21" s="119">
        <v>0.94799999999999995</v>
      </c>
      <c r="Z21" s="86">
        <v>14</v>
      </c>
      <c r="AA21" s="86">
        <v>2</v>
      </c>
      <c r="AB21" s="86">
        <v>116574</v>
      </c>
      <c r="AC21" s="86">
        <v>30472</v>
      </c>
      <c r="AD21" s="120">
        <v>0.26100000000000001</v>
      </c>
      <c r="AE21" s="121">
        <v>-6.3200000000000006E-2</v>
      </c>
      <c r="AF21" s="121">
        <v>9.2999999999999992E-3</v>
      </c>
      <c r="AG21" s="121">
        <v>-4.4999999999999998E-2</v>
      </c>
      <c r="AH21" s="121">
        <v>0.45340000000000003</v>
      </c>
      <c r="AI21" s="121">
        <v>-8.8000000000000005E-3</v>
      </c>
      <c r="AJ21" s="121">
        <v>9.8799999999999999E-2</v>
      </c>
      <c r="AK21" s="121">
        <v>-5.3600000000000002E-2</v>
      </c>
      <c r="AL21" s="121">
        <v>-8.09E-2</v>
      </c>
      <c r="AM21" s="121">
        <v>-0.2238</v>
      </c>
      <c r="AN21" s="121">
        <v>-0.41060000000000002</v>
      </c>
      <c r="AO21" s="121">
        <v>-0.1527</v>
      </c>
      <c r="AP21" s="121">
        <v>-0.26050000000000001</v>
      </c>
      <c r="AQ21" s="121">
        <v>0.2273</v>
      </c>
      <c r="AR21" s="121">
        <v>0.91439999999999999</v>
      </c>
      <c r="AS21" s="121">
        <v>-8.6699999999999999E-2</v>
      </c>
      <c r="AT21" s="121">
        <v>-1.1999999999999999E-3</v>
      </c>
      <c r="AU21" s="122">
        <v>-12021</v>
      </c>
      <c r="AV21" s="123">
        <v>-0.17</v>
      </c>
      <c r="AW21" s="122">
        <v>-5526</v>
      </c>
      <c r="AX21" s="123">
        <v>-4.5999999999999999E-2</v>
      </c>
      <c r="AY21" s="122">
        <v>11832</v>
      </c>
      <c r="AZ21" s="123">
        <v>0.26100000000000001</v>
      </c>
      <c r="BA21" s="122">
        <v>15943</v>
      </c>
      <c r="BB21" s="123">
        <v>0.68899999999999995</v>
      </c>
      <c r="BC21" s="122">
        <v>10913</v>
      </c>
      <c r="BD21" s="123">
        <v>0.627</v>
      </c>
      <c r="BE21" s="122">
        <v>16830</v>
      </c>
      <c r="BF21" s="123">
        <v>0.85199999999999998</v>
      </c>
      <c r="BG21" s="122">
        <v>7498</v>
      </c>
      <c r="BH21" s="123">
        <v>0.437</v>
      </c>
      <c r="BI21" s="122">
        <v>445</v>
      </c>
      <c r="BJ21" s="123">
        <v>0.36099999999999999</v>
      </c>
      <c r="BK21" s="91">
        <v>2.2000000000000002</v>
      </c>
      <c r="BL21" s="91">
        <v>3</v>
      </c>
      <c r="BM21" s="92">
        <f t="shared" si="1"/>
        <v>0.36363636363636354</v>
      </c>
      <c r="BN21" s="91">
        <v>4.8</v>
      </c>
      <c r="BO21" s="91">
        <v>5.9</v>
      </c>
      <c r="BP21" s="92">
        <f t="shared" si="2"/>
        <v>-0.18644067796610178</v>
      </c>
      <c r="BQ21" s="90">
        <v>3270</v>
      </c>
      <c r="BR21" s="124">
        <v>8</v>
      </c>
      <c r="BS21" s="86"/>
      <c r="BT21" s="124">
        <v>2690</v>
      </c>
      <c r="BU21" s="86"/>
      <c r="BV21" s="93">
        <f t="shared" si="11"/>
        <v>0.82262996941896027</v>
      </c>
      <c r="BW21" s="86"/>
      <c r="BX21" s="120">
        <v>0.51500000000000001</v>
      </c>
      <c r="BY21" s="120">
        <v>0.45800000000000002</v>
      </c>
      <c r="BZ21" s="125">
        <f t="shared" si="4"/>
        <v>0.12445414847161571</v>
      </c>
      <c r="CA21" s="120">
        <v>1.6E-2</v>
      </c>
      <c r="CB21" s="126">
        <v>38936</v>
      </c>
      <c r="CC21" s="126">
        <v>50000</v>
      </c>
      <c r="CD21" s="126">
        <v>72888</v>
      </c>
      <c r="CE21" s="120">
        <f t="shared" si="5"/>
        <v>0.28415861927265257</v>
      </c>
      <c r="CF21" s="120">
        <f t="shared" si="6"/>
        <v>0.87199506883090194</v>
      </c>
      <c r="CG21" s="88">
        <v>3432325329</v>
      </c>
      <c r="CH21" s="127">
        <v>218034</v>
      </c>
      <c r="CI21" s="128">
        <f t="shared" si="7"/>
        <v>15742.156402212499</v>
      </c>
      <c r="CJ21" s="88">
        <v>2051356027</v>
      </c>
      <c r="CK21" s="127">
        <v>235070</v>
      </c>
      <c r="CL21" s="128">
        <f t="shared" si="8"/>
        <v>8726.57517760667</v>
      </c>
      <c r="CM21" s="120">
        <f t="shared" si="9"/>
        <v>0.67319825706686065</v>
      </c>
      <c r="CN21" s="120">
        <f t="shared" si="10"/>
        <v>0.80393293838899871</v>
      </c>
      <c r="CO21" s="129">
        <v>6.77</v>
      </c>
      <c r="CP21" s="92">
        <v>-1.7999999999999999E-2</v>
      </c>
      <c r="CQ21" s="130">
        <v>6.6000000000000003E-2</v>
      </c>
    </row>
    <row r="22" spans="1:95" ht="13" x14ac:dyDescent="0.3">
      <c r="A22" s="75" t="s">
        <v>104</v>
      </c>
      <c r="B22" s="76" t="s">
        <v>105</v>
      </c>
      <c r="C22" s="76" t="s">
        <v>52</v>
      </c>
      <c r="D22" s="95">
        <v>45682</v>
      </c>
      <c r="E22" s="77" t="s">
        <v>106</v>
      </c>
      <c r="F22" s="77" t="s">
        <v>319</v>
      </c>
      <c r="G22" s="76"/>
      <c r="H22" s="77" t="s">
        <v>308</v>
      </c>
      <c r="I22" s="76" t="s">
        <v>60</v>
      </c>
      <c r="J22" s="76" t="s">
        <v>60</v>
      </c>
      <c r="K22" s="76" t="s">
        <v>311</v>
      </c>
      <c r="L22" s="76" t="s">
        <v>311</v>
      </c>
      <c r="M22" s="76" t="s">
        <v>60</v>
      </c>
      <c r="N22" s="76" t="s">
        <v>60</v>
      </c>
      <c r="O22" s="78">
        <v>165349424</v>
      </c>
      <c r="P22" s="78">
        <v>4199203</v>
      </c>
      <c r="Q22" s="78">
        <v>41424904</v>
      </c>
      <c r="R22" s="78">
        <v>210973531</v>
      </c>
      <c r="S22" s="79">
        <f t="shared" si="0"/>
        <v>0.78374487650775493</v>
      </c>
      <c r="T22" s="80">
        <v>66860</v>
      </c>
      <c r="U22" s="76">
        <v>16</v>
      </c>
      <c r="V22" s="76">
        <v>16</v>
      </c>
      <c r="W22" s="76">
        <v>40975</v>
      </c>
      <c r="X22" s="76">
        <v>40975</v>
      </c>
      <c r="Y22" s="131">
        <v>1</v>
      </c>
      <c r="Z22" s="76">
        <v>13</v>
      </c>
      <c r="AA22" s="76">
        <v>0</v>
      </c>
      <c r="AB22" s="76">
        <v>83638</v>
      </c>
      <c r="AC22" s="76">
        <v>0</v>
      </c>
      <c r="AD22" s="108">
        <v>0</v>
      </c>
      <c r="AE22" s="109">
        <v>-0.1105</v>
      </c>
      <c r="AF22" s="109">
        <v>-8.6199999999999999E-2</v>
      </c>
      <c r="AG22" s="109">
        <v>-0.122</v>
      </c>
      <c r="AH22" s="109">
        <v>-0.223</v>
      </c>
      <c r="AI22" s="109">
        <v>-3.2300000000000002E-2</v>
      </c>
      <c r="AJ22" s="109">
        <v>7.8799999999999995E-2</v>
      </c>
      <c r="AK22" s="109">
        <v>1.61E-2</v>
      </c>
      <c r="AL22" s="109">
        <v>-0.26769999999999999</v>
      </c>
      <c r="AM22" s="109">
        <v>-0.3478</v>
      </c>
      <c r="AN22" s="109">
        <v>-0.53049999999999997</v>
      </c>
      <c r="AO22" s="109">
        <v>-0.1593</v>
      </c>
      <c r="AP22" s="109">
        <v>-0.28100000000000003</v>
      </c>
      <c r="AQ22" s="109">
        <v>5.0900000000000001E-2</v>
      </c>
      <c r="AR22" s="109">
        <v>0.27089999999999997</v>
      </c>
      <c r="AS22" s="109">
        <v>-5.4600000000000003E-2</v>
      </c>
      <c r="AT22" s="109">
        <v>-8.6E-3</v>
      </c>
      <c r="AU22" s="110">
        <v>-13821</v>
      </c>
      <c r="AV22" s="111">
        <v>-0.26300000000000001</v>
      </c>
      <c r="AW22" s="110">
        <v>-10410</v>
      </c>
      <c r="AX22" s="111">
        <v>-0.114</v>
      </c>
      <c r="AY22" s="110">
        <v>8350</v>
      </c>
      <c r="AZ22" s="111">
        <v>0.20300000000000001</v>
      </c>
      <c r="BA22" s="110">
        <v>16460</v>
      </c>
      <c r="BB22" s="111">
        <v>0.65400000000000003</v>
      </c>
      <c r="BC22" s="110">
        <v>7336</v>
      </c>
      <c r="BD22" s="111">
        <v>0.56999999999999995</v>
      </c>
      <c r="BE22" s="110">
        <v>16893</v>
      </c>
      <c r="BF22" s="111">
        <v>0.80100000000000005</v>
      </c>
      <c r="BG22" s="110">
        <v>5439</v>
      </c>
      <c r="BH22" s="111">
        <v>0.42499999999999999</v>
      </c>
      <c r="BI22" s="110">
        <v>246</v>
      </c>
      <c r="BJ22" s="111">
        <v>0.45800000000000002</v>
      </c>
      <c r="BK22" s="81">
        <v>3.5</v>
      </c>
      <c r="BL22" s="81">
        <v>4</v>
      </c>
      <c r="BM22" s="82">
        <f t="shared" si="1"/>
        <v>0.14285714285714285</v>
      </c>
      <c r="BN22" s="81">
        <v>5</v>
      </c>
      <c r="BO22" s="81">
        <v>6</v>
      </c>
      <c r="BP22" s="82">
        <f t="shared" si="2"/>
        <v>-0.16666666666666666</v>
      </c>
      <c r="BQ22" s="80">
        <v>3724</v>
      </c>
      <c r="BR22" s="112">
        <v>8</v>
      </c>
      <c r="BS22" s="76"/>
      <c r="BT22" s="112">
        <v>870</v>
      </c>
      <c r="BU22" s="76"/>
      <c r="BV22" s="83">
        <f t="shared" si="11"/>
        <v>0.23361976369495166</v>
      </c>
      <c r="BW22" s="76"/>
      <c r="BX22" s="108">
        <v>0.56899999999999995</v>
      </c>
      <c r="BY22" s="108">
        <v>0.51200000000000001</v>
      </c>
      <c r="BZ22" s="113">
        <f t="shared" si="4"/>
        <v>0.11132812499999988</v>
      </c>
      <c r="CA22" s="108">
        <v>1.7999999999999999E-2</v>
      </c>
      <c r="CB22" s="114">
        <v>39568</v>
      </c>
      <c r="CC22" s="114">
        <v>50000</v>
      </c>
      <c r="CD22" s="114">
        <v>75000</v>
      </c>
      <c r="CE22" s="108">
        <f t="shared" si="5"/>
        <v>0.26364739183178326</v>
      </c>
      <c r="CF22" s="108">
        <f t="shared" si="6"/>
        <v>0.89547108774767492</v>
      </c>
      <c r="CG22" s="78">
        <v>2186641057</v>
      </c>
      <c r="CH22" s="115">
        <v>140348</v>
      </c>
      <c r="CI22" s="116">
        <f t="shared" si="7"/>
        <v>15580.136923931941</v>
      </c>
      <c r="CJ22" s="78">
        <v>1342072529</v>
      </c>
      <c r="CK22" s="115">
        <v>173663</v>
      </c>
      <c r="CL22" s="116">
        <f t="shared" si="8"/>
        <v>7728.028014027168</v>
      </c>
      <c r="CM22" s="108">
        <f t="shared" si="9"/>
        <v>0.62930170296332766</v>
      </c>
      <c r="CN22" s="108">
        <f t="shared" si="10"/>
        <v>1.0160559583444038</v>
      </c>
      <c r="CO22" s="117">
        <v>3.27</v>
      </c>
      <c r="CP22" s="82">
        <v>-7.5999999999999998E-2</v>
      </c>
      <c r="CQ22" s="118">
        <v>-5.0000000000000001E-3</v>
      </c>
    </row>
    <row r="23" spans="1:95" ht="13" x14ac:dyDescent="0.3">
      <c r="A23" s="85" t="s">
        <v>107</v>
      </c>
      <c r="B23" s="86" t="s">
        <v>108</v>
      </c>
      <c r="C23" s="86" t="s">
        <v>69</v>
      </c>
      <c r="D23" s="94">
        <v>45985</v>
      </c>
      <c r="E23" s="87" t="s">
        <v>109</v>
      </c>
      <c r="F23" s="87" t="s">
        <v>322</v>
      </c>
      <c r="G23" s="86"/>
      <c r="H23" s="87" t="s">
        <v>323</v>
      </c>
      <c r="I23" s="86" t="s">
        <v>60</v>
      </c>
      <c r="J23" s="86" t="s">
        <v>53</v>
      </c>
      <c r="K23" s="86" t="s">
        <v>311</v>
      </c>
      <c r="L23" s="86" t="s">
        <v>324</v>
      </c>
      <c r="M23" s="86" t="s">
        <v>60</v>
      </c>
      <c r="N23" s="86" t="s">
        <v>53</v>
      </c>
      <c r="O23" s="88">
        <v>128123925</v>
      </c>
      <c r="P23" s="88">
        <v>8101138</v>
      </c>
      <c r="Q23" s="88">
        <v>25393163</v>
      </c>
      <c r="R23" s="88">
        <v>161618226</v>
      </c>
      <c r="S23" s="89">
        <f t="shared" si="0"/>
        <v>0.79275665975940113</v>
      </c>
      <c r="T23" s="90">
        <v>99036</v>
      </c>
      <c r="U23" s="86">
        <v>30</v>
      </c>
      <c r="V23" s="86">
        <v>24</v>
      </c>
      <c r="W23" s="86">
        <v>98473</v>
      </c>
      <c r="X23" s="86">
        <v>78564</v>
      </c>
      <c r="Y23" s="119">
        <v>0.79800000000000004</v>
      </c>
      <c r="Z23" s="86">
        <v>16</v>
      </c>
      <c r="AA23" s="86">
        <v>0</v>
      </c>
      <c r="AB23" s="86">
        <v>185519</v>
      </c>
      <c r="AC23" s="86">
        <v>0</v>
      </c>
      <c r="AD23" s="120">
        <v>0</v>
      </c>
      <c r="AE23" s="121">
        <v>-0.1104</v>
      </c>
      <c r="AF23" s="121">
        <v>-0.13869999999999999</v>
      </c>
      <c r="AG23" s="121">
        <v>-0.192</v>
      </c>
      <c r="AH23" s="121">
        <v>-0.31359999999999999</v>
      </c>
      <c r="AI23" s="121">
        <v>3.3799999999999997E-2</v>
      </c>
      <c r="AJ23" s="121">
        <v>0.12570000000000001</v>
      </c>
      <c r="AK23" s="121">
        <v>-1.9900000000000001E-2</v>
      </c>
      <c r="AL23" s="121">
        <v>-0.14069999999999999</v>
      </c>
      <c r="AM23" s="121">
        <v>-0.2215</v>
      </c>
      <c r="AN23" s="121">
        <v>-0.46610000000000001</v>
      </c>
      <c r="AO23" s="121">
        <v>-0.13389999999999999</v>
      </c>
      <c r="AP23" s="121">
        <v>-0.26650000000000001</v>
      </c>
      <c r="AQ23" s="121">
        <v>0.14330000000000001</v>
      </c>
      <c r="AR23" s="121">
        <v>0.58560000000000001</v>
      </c>
      <c r="AS23" s="121">
        <v>-8.7599999999999997E-2</v>
      </c>
      <c r="AT23" s="121">
        <v>-0.16309999999999999</v>
      </c>
      <c r="AU23" s="122">
        <v>-17312</v>
      </c>
      <c r="AV23" s="123">
        <v>-0.152</v>
      </c>
      <c r="AW23" s="122">
        <v>-22856</v>
      </c>
      <c r="AX23" s="123">
        <v>-0.113</v>
      </c>
      <c r="AY23" s="122">
        <v>15130</v>
      </c>
      <c r="AZ23" s="123">
        <v>0.193</v>
      </c>
      <c r="BA23" s="122">
        <v>38985</v>
      </c>
      <c r="BB23" s="123">
        <v>0.68600000000000005</v>
      </c>
      <c r="BC23" s="122">
        <v>11832</v>
      </c>
      <c r="BD23" s="123">
        <v>0.61099999999999999</v>
      </c>
      <c r="BE23" s="122">
        <v>37348</v>
      </c>
      <c r="BF23" s="123">
        <v>0.84399999999999997</v>
      </c>
      <c r="BG23" s="122">
        <v>10924</v>
      </c>
      <c r="BH23" s="123">
        <v>0.45800000000000002</v>
      </c>
      <c r="BI23" s="122">
        <v>655</v>
      </c>
      <c r="BJ23" s="123">
        <v>0.54300000000000004</v>
      </c>
      <c r="BK23" s="91">
        <v>3.9</v>
      </c>
      <c r="BL23" s="91">
        <v>4.7</v>
      </c>
      <c r="BM23" s="92">
        <f t="shared" si="1"/>
        <v>0.2051282051282052</v>
      </c>
      <c r="BN23" s="91">
        <v>4.2</v>
      </c>
      <c r="BO23" s="91">
        <v>5.7</v>
      </c>
      <c r="BP23" s="92">
        <f t="shared" si="2"/>
        <v>-0.26315789473684209</v>
      </c>
      <c r="BQ23" s="90">
        <v>5145</v>
      </c>
      <c r="BR23" s="124">
        <v>14</v>
      </c>
      <c r="BS23" s="86"/>
      <c r="BT23" s="124">
        <v>6050</v>
      </c>
      <c r="BU23" s="86"/>
      <c r="BV23" s="93">
        <f t="shared" si="11"/>
        <v>1.1758989310009718</v>
      </c>
      <c r="BW23" s="86"/>
      <c r="BX23" s="120">
        <v>0.435</v>
      </c>
      <c r="BY23" s="120">
        <v>0.378</v>
      </c>
      <c r="BZ23" s="125">
        <f t="shared" si="4"/>
        <v>0.15079365079365079</v>
      </c>
      <c r="CA23" s="120">
        <v>2.9000000000000001E-2</v>
      </c>
      <c r="CB23" s="126">
        <v>33320</v>
      </c>
      <c r="CC23" s="126">
        <v>44500</v>
      </c>
      <c r="CD23" s="126">
        <v>62475</v>
      </c>
      <c r="CE23" s="120">
        <f t="shared" si="5"/>
        <v>0.3355342136854742</v>
      </c>
      <c r="CF23" s="120">
        <f t="shared" si="6"/>
        <v>0.875</v>
      </c>
      <c r="CG23" s="88">
        <v>2993247661</v>
      </c>
      <c r="CH23" s="127">
        <v>330986</v>
      </c>
      <c r="CI23" s="128">
        <f t="shared" si="7"/>
        <v>9043.4267944867752</v>
      </c>
      <c r="CJ23" s="88">
        <v>2191494315</v>
      </c>
      <c r="CK23" s="127">
        <v>406366</v>
      </c>
      <c r="CL23" s="128">
        <f t="shared" si="8"/>
        <v>5392.9076620583419</v>
      </c>
      <c r="CM23" s="120">
        <f t="shared" si="9"/>
        <v>0.3658477872893775</v>
      </c>
      <c r="CN23" s="120">
        <f t="shared" si="10"/>
        <v>0.67691111385265568</v>
      </c>
      <c r="CO23" s="129">
        <v>5.53</v>
      </c>
      <c r="CP23" s="92">
        <v>1.0999999999999999E-2</v>
      </c>
      <c r="CQ23" s="130">
        <v>8.0000000000000002E-3</v>
      </c>
    </row>
    <row r="24" spans="1:95" ht="13" x14ac:dyDescent="0.3">
      <c r="A24" s="75" t="s">
        <v>110</v>
      </c>
      <c r="B24" s="76" t="s">
        <v>111</v>
      </c>
      <c r="C24" s="76" t="s">
        <v>52</v>
      </c>
      <c r="D24" s="77"/>
      <c r="E24" s="77"/>
      <c r="F24" s="77"/>
      <c r="G24" s="76"/>
      <c r="H24" s="77" t="s">
        <v>310</v>
      </c>
      <c r="I24" s="76" t="s">
        <v>53</v>
      </c>
      <c r="J24" s="76" t="s">
        <v>53</v>
      </c>
      <c r="K24" s="76" t="s">
        <v>311</v>
      </c>
      <c r="L24" s="76" t="s">
        <v>324</v>
      </c>
      <c r="M24" s="76" t="s">
        <v>60</v>
      </c>
      <c r="N24" s="76" t="s">
        <v>53</v>
      </c>
      <c r="O24" s="78">
        <v>227302459</v>
      </c>
      <c r="P24" s="78">
        <v>45911</v>
      </c>
      <c r="Q24" s="78">
        <v>69040203</v>
      </c>
      <c r="R24" s="78">
        <v>296388573</v>
      </c>
      <c r="S24" s="79">
        <f t="shared" si="0"/>
        <v>0.76690695831920619</v>
      </c>
      <c r="T24" s="80">
        <v>62224</v>
      </c>
      <c r="U24" s="76">
        <v>27</v>
      </c>
      <c r="V24" s="76">
        <v>13</v>
      </c>
      <c r="W24" s="76">
        <v>64844</v>
      </c>
      <c r="X24" s="76">
        <v>37787</v>
      </c>
      <c r="Y24" s="131">
        <v>0.58299999999999996</v>
      </c>
      <c r="Z24" s="76">
        <v>13</v>
      </c>
      <c r="AA24" s="76">
        <v>1</v>
      </c>
      <c r="AB24" s="76">
        <v>83308</v>
      </c>
      <c r="AC24" s="76">
        <v>768</v>
      </c>
      <c r="AD24" s="108">
        <v>8.9999999999999993E-3</v>
      </c>
      <c r="AE24" s="109">
        <v>-0.14319999999999999</v>
      </c>
      <c r="AF24" s="109">
        <v>-0.19689999999999999</v>
      </c>
      <c r="AG24" s="109">
        <v>0.16589999999999999</v>
      </c>
      <c r="AH24" s="109">
        <v>8.4599999999999995E-2</v>
      </c>
      <c r="AI24" s="109">
        <v>5.1900000000000002E-2</v>
      </c>
      <c r="AJ24" s="109">
        <v>0.1348</v>
      </c>
      <c r="AK24" s="109">
        <v>-0.112</v>
      </c>
      <c r="AL24" s="109">
        <v>-0.22040000000000001</v>
      </c>
      <c r="AM24" s="109">
        <v>-0.16619999999999999</v>
      </c>
      <c r="AN24" s="109">
        <v>-0.28899999999999998</v>
      </c>
      <c r="AO24" s="109">
        <v>-5.79E-2</v>
      </c>
      <c r="AP24" s="109">
        <v>-0.13389999999999999</v>
      </c>
      <c r="AQ24" s="109">
        <v>8.5599999999999996E-2</v>
      </c>
      <c r="AR24" s="109">
        <v>0.31509999999999999</v>
      </c>
      <c r="AS24" s="109">
        <v>-1.54E-2</v>
      </c>
      <c r="AT24" s="109">
        <v>8.9899999999999994E-2</v>
      </c>
      <c r="AU24" s="110">
        <v>-9493</v>
      </c>
      <c r="AV24" s="111">
        <v>-0.13</v>
      </c>
      <c r="AW24" s="110">
        <v>-13487</v>
      </c>
      <c r="AX24" s="111">
        <v>-0.14399999999999999</v>
      </c>
      <c r="AY24" s="110">
        <v>10361</v>
      </c>
      <c r="AZ24" s="111">
        <v>0.33500000000000002</v>
      </c>
      <c r="BA24" s="110">
        <v>16526</v>
      </c>
      <c r="BB24" s="111">
        <v>0.65400000000000003</v>
      </c>
      <c r="BC24" s="110">
        <v>9535</v>
      </c>
      <c r="BD24" s="111">
        <v>0.59</v>
      </c>
      <c r="BE24" s="110">
        <v>15156</v>
      </c>
      <c r="BF24" s="111">
        <v>0.81200000000000006</v>
      </c>
      <c r="BG24" s="110">
        <v>4978</v>
      </c>
      <c r="BH24" s="111">
        <v>0.45900000000000002</v>
      </c>
      <c r="BI24" s="110">
        <v>251</v>
      </c>
      <c r="BJ24" s="111">
        <v>0.504</v>
      </c>
      <c r="BK24" s="81">
        <v>2.8</v>
      </c>
      <c r="BL24" s="81">
        <v>3</v>
      </c>
      <c r="BM24" s="82">
        <f t="shared" si="1"/>
        <v>7.1428571428571494E-2</v>
      </c>
      <c r="BN24" s="81">
        <v>5.2</v>
      </c>
      <c r="BO24" s="81">
        <v>6</v>
      </c>
      <c r="BP24" s="82">
        <f t="shared" si="2"/>
        <v>-0.1333333333333333</v>
      </c>
      <c r="BQ24" s="80">
        <v>2937</v>
      </c>
      <c r="BR24" s="112">
        <v>11</v>
      </c>
      <c r="BS24" s="76"/>
      <c r="BT24" s="112">
        <v>2930</v>
      </c>
      <c r="BU24" s="76"/>
      <c r="BV24" s="83">
        <f t="shared" si="11"/>
        <v>0.99761661559414372</v>
      </c>
      <c r="BW24" s="76"/>
      <c r="BX24" s="108">
        <v>0.54</v>
      </c>
      <c r="BY24" s="108">
        <v>0.47299999999999998</v>
      </c>
      <c r="BZ24" s="113">
        <f t="shared" si="4"/>
        <v>0.14164904862579294</v>
      </c>
      <c r="CA24" s="108">
        <v>1.4999999999999999E-2</v>
      </c>
      <c r="CB24" s="114">
        <v>40000</v>
      </c>
      <c r="CC24" s="114">
        <v>51500</v>
      </c>
      <c r="CD24" s="114">
        <v>68723</v>
      </c>
      <c r="CE24" s="108">
        <f t="shared" si="5"/>
        <v>0.28749999999999998</v>
      </c>
      <c r="CF24" s="108">
        <f t="shared" si="6"/>
        <v>0.71807500000000002</v>
      </c>
      <c r="CG24" s="78">
        <v>1762275777</v>
      </c>
      <c r="CH24" s="115">
        <v>163409</v>
      </c>
      <c r="CI24" s="116">
        <f t="shared" si="7"/>
        <v>10784.447472293448</v>
      </c>
      <c r="CJ24" s="78">
        <v>1394503000</v>
      </c>
      <c r="CK24" s="115">
        <v>208495</v>
      </c>
      <c r="CL24" s="116">
        <f t="shared" si="8"/>
        <v>6688.424182834121</v>
      </c>
      <c r="CM24" s="108">
        <f t="shared" si="9"/>
        <v>0.26373035913153287</v>
      </c>
      <c r="CN24" s="108">
        <f t="shared" si="10"/>
        <v>0.61240483221321318</v>
      </c>
      <c r="CO24" s="117">
        <v>4.63</v>
      </c>
      <c r="CP24" s="82">
        <v>-0.14099999999999999</v>
      </c>
      <c r="CQ24" s="118">
        <v>-0.13200000000000001</v>
      </c>
    </row>
    <row r="25" spans="1:95" ht="13" x14ac:dyDescent="0.3">
      <c r="A25" s="85" t="s">
        <v>112</v>
      </c>
      <c r="B25" s="86" t="s">
        <v>113</v>
      </c>
      <c r="C25" s="86" t="s">
        <v>52</v>
      </c>
      <c r="D25" s="87"/>
      <c r="E25" s="87"/>
      <c r="F25" s="87"/>
      <c r="G25" s="86"/>
      <c r="H25" s="87" t="s">
        <v>313</v>
      </c>
      <c r="I25" s="86" t="s">
        <v>53</v>
      </c>
      <c r="J25" s="86" t="s">
        <v>53</v>
      </c>
      <c r="K25" s="86" t="s">
        <v>307</v>
      </c>
      <c r="L25" s="86" t="s">
        <v>307</v>
      </c>
      <c r="M25" s="86" t="s">
        <v>53</v>
      </c>
      <c r="N25" s="86" t="s">
        <v>60</v>
      </c>
      <c r="O25" s="88">
        <v>30172816</v>
      </c>
      <c r="P25" s="88">
        <v>17865747</v>
      </c>
      <c r="Q25" s="88">
        <v>1401983</v>
      </c>
      <c r="R25" s="88">
        <v>49440546</v>
      </c>
      <c r="S25" s="89">
        <f t="shared" si="0"/>
        <v>0.61028484596428201</v>
      </c>
      <c r="T25" s="90">
        <v>28847</v>
      </c>
      <c r="U25" s="86">
        <v>15</v>
      </c>
      <c r="V25" s="86">
        <v>1</v>
      </c>
      <c r="W25" s="86">
        <v>54094</v>
      </c>
      <c r="X25" s="86">
        <v>1494</v>
      </c>
      <c r="Y25" s="119">
        <v>2.8000000000000001E-2</v>
      </c>
      <c r="Z25" s="86">
        <v>8</v>
      </c>
      <c r="AA25" s="86">
        <v>1</v>
      </c>
      <c r="AB25" s="86">
        <v>55622</v>
      </c>
      <c r="AC25" s="86">
        <v>1355</v>
      </c>
      <c r="AD25" s="120">
        <v>2.4E-2</v>
      </c>
      <c r="AE25" s="121">
        <v>-8.3199999999999996E-2</v>
      </c>
      <c r="AF25" s="121">
        <v>-7.0800000000000002E-2</v>
      </c>
      <c r="AG25" s="121">
        <v>-0.11169999999999999</v>
      </c>
      <c r="AH25" s="121">
        <v>2.81E-2</v>
      </c>
      <c r="AI25" s="121">
        <v>2.8000000000000001E-2</v>
      </c>
      <c r="AJ25" s="121">
        <v>8.4000000000000005E-2</v>
      </c>
      <c r="AK25" s="132"/>
      <c r="AL25" s="132"/>
      <c r="AM25" s="121">
        <v>-0.15160000000000001</v>
      </c>
      <c r="AN25" s="121">
        <v>-0.27079999999999999</v>
      </c>
      <c r="AO25" s="121">
        <v>-4.8800000000000003E-2</v>
      </c>
      <c r="AP25" s="121">
        <v>0.19209999999999999</v>
      </c>
      <c r="AQ25" s="121">
        <v>0.14660000000000001</v>
      </c>
      <c r="AR25" s="121">
        <v>0.75549999999999995</v>
      </c>
      <c r="AS25" s="121">
        <v>-0.1988</v>
      </c>
      <c r="AT25" s="121">
        <v>-0.2341</v>
      </c>
      <c r="AU25" s="122">
        <v>-8268</v>
      </c>
      <c r="AV25" s="123">
        <v>-0.13600000000000001</v>
      </c>
      <c r="AW25" s="122">
        <v>-7975</v>
      </c>
      <c r="AX25" s="123">
        <v>-0.128</v>
      </c>
      <c r="AY25" s="122">
        <v>15271</v>
      </c>
      <c r="AZ25" s="123">
        <v>0.40200000000000002</v>
      </c>
      <c r="BA25" s="122">
        <v>11670</v>
      </c>
      <c r="BB25" s="123">
        <v>0.56899999999999995</v>
      </c>
      <c r="BC25" s="122">
        <v>13637</v>
      </c>
      <c r="BD25" s="123">
        <v>0.61499999999999999</v>
      </c>
      <c r="BE25" s="122">
        <v>10070</v>
      </c>
      <c r="BF25" s="123">
        <v>0.80600000000000005</v>
      </c>
      <c r="BG25" s="122">
        <v>1379</v>
      </c>
      <c r="BH25" s="123">
        <v>0.25</v>
      </c>
      <c r="BI25" s="122">
        <v>172</v>
      </c>
      <c r="BJ25" s="123">
        <v>0.36499999999999999</v>
      </c>
      <c r="BK25" s="91">
        <v>3.1</v>
      </c>
      <c r="BL25" s="91">
        <v>3.2</v>
      </c>
      <c r="BM25" s="92">
        <f t="shared" si="1"/>
        <v>3.2258064516129059E-2</v>
      </c>
      <c r="BN25" s="91">
        <v>4.9000000000000004</v>
      </c>
      <c r="BO25" s="91">
        <v>5.9</v>
      </c>
      <c r="BP25" s="92">
        <f t="shared" si="2"/>
        <v>-0.16949152542372881</v>
      </c>
      <c r="BQ25" s="90">
        <v>1474</v>
      </c>
      <c r="BR25" s="124">
        <v>10</v>
      </c>
      <c r="BS25" s="86"/>
      <c r="BT25" s="124">
        <v>1130</v>
      </c>
      <c r="BU25" s="86"/>
      <c r="BV25" s="93">
        <f t="shared" si="11"/>
        <v>0.76662143826322926</v>
      </c>
      <c r="BW25" s="86"/>
      <c r="BX25" s="120">
        <v>0.36499999999999999</v>
      </c>
      <c r="BY25" s="120">
        <v>0.307</v>
      </c>
      <c r="BZ25" s="125">
        <f t="shared" si="4"/>
        <v>0.18892508143322476</v>
      </c>
      <c r="CA25" s="120">
        <v>8.9999999999999993E-3</v>
      </c>
      <c r="CB25" s="126">
        <v>29000</v>
      </c>
      <c r="CC25" s="126">
        <v>39300</v>
      </c>
      <c r="CD25" s="126">
        <v>49980</v>
      </c>
      <c r="CE25" s="120">
        <f t="shared" si="5"/>
        <v>0.35517241379310344</v>
      </c>
      <c r="CF25" s="120">
        <f t="shared" si="6"/>
        <v>0.72344827586206895</v>
      </c>
      <c r="CG25" s="88">
        <v>1208004956</v>
      </c>
      <c r="CH25" s="127">
        <v>119928</v>
      </c>
      <c r="CI25" s="128">
        <f t="shared" si="7"/>
        <v>10072.751617637248</v>
      </c>
      <c r="CJ25" s="88">
        <v>1027047210</v>
      </c>
      <c r="CK25" s="127">
        <v>133296</v>
      </c>
      <c r="CL25" s="128">
        <f t="shared" si="8"/>
        <v>7705.0114782138999</v>
      </c>
      <c r="CM25" s="120">
        <f t="shared" si="9"/>
        <v>0.17619223755059907</v>
      </c>
      <c r="CN25" s="120">
        <f t="shared" si="10"/>
        <v>0.3072987167012261</v>
      </c>
      <c r="CO25" s="129">
        <v>7.83</v>
      </c>
      <c r="CP25" s="92">
        <v>-0.23</v>
      </c>
      <c r="CQ25" s="130">
        <v>-0.254</v>
      </c>
    </row>
    <row r="26" spans="1:95" ht="13" x14ac:dyDescent="0.3">
      <c r="A26" s="75" t="s">
        <v>114</v>
      </c>
      <c r="B26" s="76" t="s">
        <v>115</v>
      </c>
      <c r="C26" s="76" t="s">
        <v>52</v>
      </c>
      <c r="D26" s="77"/>
      <c r="E26" s="77"/>
      <c r="F26" s="77"/>
      <c r="G26" s="76"/>
      <c r="H26" s="77" t="s">
        <v>308</v>
      </c>
      <c r="I26" s="76" t="s">
        <v>53</v>
      </c>
      <c r="J26" s="76" t="s">
        <v>53</v>
      </c>
      <c r="K26" s="76" t="s">
        <v>307</v>
      </c>
      <c r="L26" s="76" t="s">
        <v>307</v>
      </c>
      <c r="M26" s="76" t="s">
        <v>60</v>
      </c>
      <c r="N26" s="76" t="s">
        <v>60</v>
      </c>
      <c r="O26" s="78">
        <v>75647423</v>
      </c>
      <c r="P26" s="78">
        <v>73711798</v>
      </c>
      <c r="Q26" s="78"/>
      <c r="R26" s="78">
        <v>149359221</v>
      </c>
      <c r="S26" s="79">
        <f t="shared" si="0"/>
        <v>0.50647976397787986</v>
      </c>
      <c r="T26" s="80">
        <v>61558</v>
      </c>
      <c r="U26" s="76">
        <v>14</v>
      </c>
      <c r="V26" s="76">
        <v>7</v>
      </c>
      <c r="W26" s="76">
        <v>51019</v>
      </c>
      <c r="X26" s="76">
        <v>35854</v>
      </c>
      <c r="Y26" s="131">
        <v>0.70299999999999996</v>
      </c>
      <c r="Z26" s="76">
        <v>13</v>
      </c>
      <c r="AA26" s="76">
        <v>2</v>
      </c>
      <c r="AB26" s="76">
        <v>84081</v>
      </c>
      <c r="AC26" s="76">
        <v>2738</v>
      </c>
      <c r="AD26" s="108">
        <v>3.3000000000000002E-2</v>
      </c>
      <c r="AE26" s="109">
        <v>-0.1706</v>
      </c>
      <c r="AF26" s="109">
        <v>-0.22370000000000001</v>
      </c>
      <c r="AG26" s="109">
        <v>2.3300000000000001E-2</v>
      </c>
      <c r="AH26" s="109">
        <v>0.1686</v>
      </c>
      <c r="AI26" s="109">
        <v>1.8E-3</v>
      </c>
      <c r="AJ26" s="109">
        <v>4.5900000000000003E-2</v>
      </c>
      <c r="AK26" s="109">
        <v>-1.1299999999999999E-2</v>
      </c>
      <c r="AL26" s="109">
        <v>-7.8700000000000006E-2</v>
      </c>
      <c r="AM26" s="109">
        <v>-0.1118</v>
      </c>
      <c r="AN26" s="109">
        <v>-0.32869999999999999</v>
      </c>
      <c r="AO26" s="109">
        <v>-0.1638</v>
      </c>
      <c r="AP26" s="109">
        <v>-0.27750000000000002</v>
      </c>
      <c r="AQ26" s="109">
        <v>0.18229999999999999</v>
      </c>
      <c r="AR26" s="109">
        <v>0.72160000000000002</v>
      </c>
      <c r="AS26" s="109">
        <v>-3.2599999999999997E-2</v>
      </c>
      <c r="AT26" s="109">
        <v>-0.14360000000000001</v>
      </c>
      <c r="AU26" s="110">
        <v>-7228</v>
      </c>
      <c r="AV26" s="111">
        <v>-0.126</v>
      </c>
      <c r="AW26" s="110">
        <v>-14724</v>
      </c>
      <c r="AX26" s="111">
        <v>-0.154</v>
      </c>
      <c r="AY26" s="110">
        <v>13745</v>
      </c>
      <c r="AZ26" s="111">
        <v>0.33500000000000002</v>
      </c>
      <c r="BA26" s="110">
        <v>19353</v>
      </c>
      <c r="BB26" s="111">
        <v>0.59099999999999997</v>
      </c>
      <c r="BC26" s="110">
        <v>13181</v>
      </c>
      <c r="BD26" s="111">
        <v>0.624</v>
      </c>
      <c r="BE26" s="110">
        <v>16533</v>
      </c>
      <c r="BF26" s="111">
        <v>0.79200000000000004</v>
      </c>
      <c r="BG26" s="110">
        <v>3869</v>
      </c>
      <c r="BH26" s="111">
        <v>0.376</v>
      </c>
      <c r="BI26" s="110">
        <v>446</v>
      </c>
      <c r="BJ26" s="111">
        <v>0.45500000000000002</v>
      </c>
      <c r="BK26" s="81">
        <v>3.1</v>
      </c>
      <c r="BL26" s="81">
        <v>3.7</v>
      </c>
      <c r="BM26" s="82">
        <f t="shared" si="1"/>
        <v>0.19354838709677422</v>
      </c>
      <c r="BN26" s="81">
        <v>5.4</v>
      </c>
      <c r="BO26" s="81">
        <v>5.4</v>
      </c>
      <c r="BP26" s="82">
        <f t="shared" si="2"/>
        <v>0</v>
      </c>
      <c r="BQ26" s="80">
        <v>3140</v>
      </c>
      <c r="BR26" s="112">
        <v>12</v>
      </c>
      <c r="BS26" s="76"/>
      <c r="BT26" s="112">
        <v>3140</v>
      </c>
      <c r="BU26" s="76"/>
      <c r="BV26" s="83">
        <f t="shared" si="11"/>
        <v>1</v>
      </c>
      <c r="BW26" s="76"/>
      <c r="BX26" s="108">
        <v>0.42699999999999999</v>
      </c>
      <c r="BY26" s="108">
        <v>0.36799999999999999</v>
      </c>
      <c r="BZ26" s="113">
        <f t="shared" si="4"/>
        <v>0.16032608695652173</v>
      </c>
      <c r="CA26" s="108">
        <v>1.7999999999999999E-2</v>
      </c>
      <c r="CB26" s="114">
        <v>33765</v>
      </c>
      <c r="CC26" s="114">
        <v>43774</v>
      </c>
      <c r="CD26" s="114">
        <v>58526</v>
      </c>
      <c r="CE26" s="108">
        <f t="shared" si="5"/>
        <v>0.29643121575596032</v>
      </c>
      <c r="CF26" s="108">
        <f t="shared" si="6"/>
        <v>0.73333333333333328</v>
      </c>
      <c r="CG26" s="78">
        <v>1397562016</v>
      </c>
      <c r="CH26" s="115">
        <v>146201</v>
      </c>
      <c r="CI26" s="116">
        <f t="shared" si="7"/>
        <v>9559.1823311742046</v>
      </c>
      <c r="CJ26" s="78">
        <v>1098419181</v>
      </c>
      <c r="CK26" s="115">
        <v>199494</v>
      </c>
      <c r="CL26" s="116">
        <f t="shared" si="8"/>
        <v>5506.0261511624412</v>
      </c>
      <c r="CM26" s="108">
        <f t="shared" si="9"/>
        <v>0.27233941301685993</v>
      </c>
      <c r="CN26" s="108">
        <f t="shared" si="10"/>
        <v>0.73613093522195761</v>
      </c>
      <c r="CO26" s="117">
        <v>3.88</v>
      </c>
      <c r="CP26" s="82">
        <v>-0.109</v>
      </c>
      <c r="CQ26" s="118">
        <v>-0.17100000000000001</v>
      </c>
    </row>
    <row r="27" spans="1:95" ht="13" x14ac:dyDescent="0.3">
      <c r="A27" s="85" t="s">
        <v>116</v>
      </c>
      <c r="B27" s="86" t="s">
        <v>117</v>
      </c>
      <c r="C27" s="86" t="s">
        <v>52</v>
      </c>
      <c r="D27" s="87" t="s">
        <v>102</v>
      </c>
      <c r="E27" s="87" t="s">
        <v>118</v>
      </c>
      <c r="F27" s="87" t="s">
        <v>325</v>
      </c>
      <c r="G27" s="86" t="s">
        <v>326</v>
      </c>
      <c r="H27" s="87" t="s">
        <v>306</v>
      </c>
      <c r="I27" s="86" t="s">
        <v>60</v>
      </c>
      <c r="J27" s="86" t="s">
        <v>60</v>
      </c>
      <c r="K27" s="86" t="s">
        <v>307</v>
      </c>
      <c r="L27" s="86" t="s">
        <v>307</v>
      </c>
      <c r="M27" s="86" t="s">
        <v>60</v>
      </c>
      <c r="N27" s="86" t="s">
        <v>53</v>
      </c>
      <c r="O27" s="88">
        <v>737161</v>
      </c>
      <c r="P27" s="88"/>
      <c r="Q27" s="88">
        <v>815780</v>
      </c>
      <c r="R27" s="88">
        <v>1552941</v>
      </c>
      <c r="S27" s="89">
        <f t="shared" si="0"/>
        <v>0.47468706151746909</v>
      </c>
      <c r="T27" s="90">
        <v>9543</v>
      </c>
      <c r="U27" s="86">
        <v>9</v>
      </c>
      <c r="V27" s="86">
        <v>5</v>
      </c>
      <c r="W27" s="86">
        <v>4771</v>
      </c>
      <c r="X27" s="86">
        <v>2483</v>
      </c>
      <c r="Y27" s="119">
        <v>0.52100000000000002</v>
      </c>
      <c r="Z27" s="86">
        <v>9</v>
      </c>
      <c r="AA27" s="86">
        <v>1</v>
      </c>
      <c r="AB27" s="86">
        <v>26887</v>
      </c>
      <c r="AC27" s="86">
        <v>2654</v>
      </c>
      <c r="AD27" s="120">
        <v>9.9000000000000005E-2</v>
      </c>
      <c r="AE27" s="121">
        <v>-7.1900000000000006E-2</v>
      </c>
      <c r="AF27" s="121">
        <v>-0.156</v>
      </c>
      <c r="AG27" s="121">
        <v>-3.0099999999999998E-2</v>
      </c>
      <c r="AH27" s="121">
        <v>-0.1203</v>
      </c>
      <c r="AI27" s="121">
        <v>2.9600000000000001E-2</v>
      </c>
      <c r="AJ27" s="121">
        <v>0.1094</v>
      </c>
      <c r="AK27" s="121">
        <v>-0.16700000000000001</v>
      </c>
      <c r="AL27" s="121">
        <v>-0.2424</v>
      </c>
      <c r="AM27" s="121">
        <v>-0.1414</v>
      </c>
      <c r="AN27" s="121">
        <v>-0.33929999999999999</v>
      </c>
      <c r="AO27" s="121">
        <v>7.2099999999999997E-2</v>
      </c>
      <c r="AP27" s="121">
        <v>0.24299999999999999</v>
      </c>
      <c r="AQ27" s="121">
        <v>0.1736</v>
      </c>
      <c r="AR27" s="121">
        <v>0.47610000000000002</v>
      </c>
      <c r="AS27" s="121">
        <v>0.46800000000000003</v>
      </c>
      <c r="AT27" s="121">
        <v>0.1046</v>
      </c>
      <c r="AU27" s="122">
        <v>-255</v>
      </c>
      <c r="AV27" s="123">
        <v>-0.05</v>
      </c>
      <c r="AW27" s="122">
        <v>-2210</v>
      </c>
      <c r="AX27" s="123">
        <v>-7.4999999999999997E-2</v>
      </c>
      <c r="AY27" s="122">
        <v>986</v>
      </c>
      <c r="AZ27" s="123">
        <v>0.32200000000000001</v>
      </c>
      <c r="BA27" s="122">
        <v>4945</v>
      </c>
      <c r="BB27" s="123">
        <v>0.51600000000000001</v>
      </c>
      <c r="BC27" s="122">
        <v>926</v>
      </c>
      <c r="BD27" s="123">
        <v>0.55900000000000005</v>
      </c>
      <c r="BE27" s="122">
        <v>4817</v>
      </c>
      <c r="BF27" s="123">
        <v>0.74399999999999999</v>
      </c>
      <c r="BG27" s="122">
        <v>255</v>
      </c>
      <c r="BH27" s="123">
        <v>0.40100000000000002</v>
      </c>
      <c r="BI27" s="122">
        <v>544</v>
      </c>
      <c r="BJ27" s="123">
        <v>0.51300000000000001</v>
      </c>
      <c r="BK27" s="91">
        <v>2.7</v>
      </c>
      <c r="BL27" s="91">
        <v>3</v>
      </c>
      <c r="BM27" s="92">
        <f t="shared" si="1"/>
        <v>0.11111111111111104</v>
      </c>
      <c r="BN27" s="91">
        <v>5</v>
      </c>
      <c r="BO27" s="91">
        <v>6.4</v>
      </c>
      <c r="BP27" s="92">
        <f t="shared" si="2"/>
        <v>-0.21875000000000006</v>
      </c>
      <c r="BQ27" s="86">
        <v>553</v>
      </c>
      <c r="BR27" s="124">
        <v>9</v>
      </c>
      <c r="BS27" s="86"/>
      <c r="BT27" s="124">
        <v>630</v>
      </c>
      <c r="BU27" s="86"/>
      <c r="BV27" s="93">
        <f t="shared" si="11"/>
        <v>1.139240506329114</v>
      </c>
      <c r="BW27" s="86"/>
      <c r="BX27" s="120">
        <v>0.45700000000000002</v>
      </c>
      <c r="BY27" s="120">
        <v>0.39700000000000002</v>
      </c>
      <c r="BZ27" s="125">
        <f t="shared" si="4"/>
        <v>0.15113350125944583</v>
      </c>
      <c r="CA27" s="120">
        <v>3.0000000000000001E-3</v>
      </c>
      <c r="CB27" s="126">
        <v>34674</v>
      </c>
      <c r="CC27" s="126">
        <v>43000</v>
      </c>
      <c r="CD27" s="126">
        <v>54024</v>
      </c>
      <c r="CE27" s="120">
        <f t="shared" si="5"/>
        <v>0.24012228182499856</v>
      </c>
      <c r="CF27" s="120">
        <f t="shared" si="6"/>
        <v>0.5580550268212493</v>
      </c>
      <c r="CG27" s="88">
        <v>295803724</v>
      </c>
      <c r="CH27" s="127">
        <v>33811</v>
      </c>
      <c r="CI27" s="128">
        <f t="shared" si="7"/>
        <v>8748.7422436485176</v>
      </c>
      <c r="CJ27" s="88">
        <v>233823983</v>
      </c>
      <c r="CK27" s="127">
        <v>39484</v>
      </c>
      <c r="CL27" s="128">
        <f t="shared" si="8"/>
        <v>5921.9932884206264</v>
      </c>
      <c r="CM27" s="120">
        <f t="shared" si="9"/>
        <v>0.26507007623764584</v>
      </c>
      <c r="CN27" s="120">
        <f t="shared" si="10"/>
        <v>0.4773306583705661</v>
      </c>
      <c r="CO27" s="129">
        <v>4.4000000000000004</v>
      </c>
      <c r="CP27" s="92">
        <v>-0.23400000000000001</v>
      </c>
      <c r="CQ27" s="130">
        <v>-0.20200000000000001</v>
      </c>
    </row>
    <row r="28" spans="1:95" ht="13" x14ac:dyDescent="0.3">
      <c r="A28" s="75" t="s">
        <v>119</v>
      </c>
      <c r="B28" s="76" t="s">
        <v>120</v>
      </c>
      <c r="C28" s="76" t="s">
        <v>52</v>
      </c>
      <c r="D28" s="95">
        <v>45830</v>
      </c>
      <c r="E28" s="77" t="s">
        <v>59</v>
      </c>
      <c r="F28" s="77" t="s">
        <v>328</v>
      </c>
      <c r="G28" s="76"/>
      <c r="H28" s="77" t="s">
        <v>308</v>
      </c>
      <c r="I28" s="76" t="s">
        <v>53</v>
      </c>
      <c r="J28" s="76" t="s">
        <v>53</v>
      </c>
      <c r="K28" s="76" t="s">
        <v>307</v>
      </c>
      <c r="L28" s="76" t="s">
        <v>307</v>
      </c>
      <c r="M28" s="76" t="s">
        <v>53</v>
      </c>
      <c r="N28" s="76" t="s">
        <v>53</v>
      </c>
      <c r="O28" s="78">
        <v>28477668</v>
      </c>
      <c r="P28" s="78">
        <v>13000000</v>
      </c>
      <c r="Q28" s="78">
        <v>3746296</v>
      </c>
      <c r="R28" s="78">
        <v>45223964</v>
      </c>
      <c r="S28" s="79">
        <f t="shared" si="0"/>
        <v>0.62970304858724901</v>
      </c>
      <c r="T28" s="80">
        <v>22213</v>
      </c>
      <c r="U28" s="76">
        <v>8</v>
      </c>
      <c r="V28" s="76">
        <v>3</v>
      </c>
      <c r="W28" s="76">
        <v>22712</v>
      </c>
      <c r="X28" s="76">
        <v>13856</v>
      </c>
      <c r="Y28" s="131">
        <v>0.61</v>
      </c>
      <c r="Z28" s="76">
        <v>8</v>
      </c>
      <c r="AA28" s="76">
        <v>1</v>
      </c>
      <c r="AB28" s="76">
        <v>40569</v>
      </c>
      <c r="AC28" s="76">
        <v>195</v>
      </c>
      <c r="AD28" s="108">
        <v>5.0000000000000001E-3</v>
      </c>
      <c r="AE28" s="109">
        <v>-3.0499999999999999E-2</v>
      </c>
      <c r="AF28" s="109">
        <v>-2.4E-2</v>
      </c>
      <c r="AG28" s="109">
        <v>-4.2900000000000001E-2</v>
      </c>
      <c r="AH28" s="109">
        <v>-0.1164</v>
      </c>
      <c r="AI28" s="109">
        <v>2.18E-2</v>
      </c>
      <c r="AJ28" s="109">
        <v>3.85E-2</v>
      </c>
      <c r="AK28" s="109">
        <v>0.1167</v>
      </c>
      <c r="AL28" s="109">
        <v>8.1299999999999997E-2</v>
      </c>
      <c r="AM28" s="109">
        <v>-0.16750000000000001</v>
      </c>
      <c r="AN28" s="109">
        <v>-0.28560000000000002</v>
      </c>
      <c r="AO28" s="109">
        <v>0.10970000000000001</v>
      </c>
      <c r="AP28" s="109">
        <v>0.11210000000000001</v>
      </c>
      <c r="AQ28" s="109">
        <v>0.1203</v>
      </c>
      <c r="AR28" s="109">
        <v>0.33600000000000002</v>
      </c>
      <c r="AS28" s="109">
        <v>-0.2576</v>
      </c>
      <c r="AT28" s="109">
        <v>-0.36070000000000002</v>
      </c>
      <c r="AU28" s="110">
        <v>-2637</v>
      </c>
      <c r="AV28" s="111">
        <v>-0.10199999999999999</v>
      </c>
      <c r="AW28" s="110">
        <v>-1064</v>
      </c>
      <c r="AX28" s="111">
        <v>-2.5999999999999999E-2</v>
      </c>
      <c r="AY28" s="110">
        <v>3987</v>
      </c>
      <c r="AZ28" s="111">
        <v>0.379</v>
      </c>
      <c r="BA28" s="110">
        <v>7796</v>
      </c>
      <c r="BB28" s="111">
        <v>0.58699999999999997</v>
      </c>
      <c r="BC28" s="110">
        <v>3841</v>
      </c>
      <c r="BD28" s="111">
        <v>0.629</v>
      </c>
      <c r="BE28" s="110">
        <v>8703</v>
      </c>
      <c r="BF28" s="111">
        <v>0.77700000000000002</v>
      </c>
      <c r="BG28" s="110">
        <v>1497</v>
      </c>
      <c r="BH28" s="111">
        <v>0.41599999999999998</v>
      </c>
      <c r="BI28" s="110">
        <v>131</v>
      </c>
      <c r="BJ28" s="111">
        <v>0.42399999999999999</v>
      </c>
      <c r="BK28" s="81">
        <v>2.2999999999999998</v>
      </c>
      <c r="BL28" s="81">
        <v>2.8</v>
      </c>
      <c r="BM28" s="82">
        <f t="shared" si="1"/>
        <v>0.21739130434782611</v>
      </c>
      <c r="BN28" s="81">
        <v>4.8</v>
      </c>
      <c r="BO28" s="81">
        <v>5.4</v>
      </c>
      <c r="BP28" s="82">
        <f t="shared" si="2"/>
        <v>-0.1111111111111112</v>
      </c>
      <c r="BQ28" s="76">
        <v>967</v>
      </c>
      <c r="BR28" s="112">
        <v>13</v>
      </c>
      <c r="BS28" s="76"/>
      <c r="BT28" s="112">
        <v>1250</v>
      </c>
      <c r="BU28" s="76"/>
      <c r="BV28" s="83">
        <f t="shared" si="11"/>
        <v>1.2926577042399172</v>
      </c>
      <c r="BW28" s="76"/>
      <c r="BX28" s="108">
        <v>0.48699999999999999</v>
      </c>
      <c r="BY28" s="108">
        <v>0.433</v>
      </c>
      <c r="BZ28" s="113">
        <f t="shared" si="4"/>
        <v>0.12471131639722863</v>
      </c>
      <c r="CA28" s="108">
        <v>7.0000000000000001E-3</v>
      </c>
      <c r="CB28" s="114">
        <v>38000</v>
      </c>
      <c r="CC28" s="114">
        <v>47195</v>
      </c>
      <c r="CD28" s="114">
        <v>58994</v>
      </c>
      <c r="CE28" s="108">
        <f t="shared" si="5"/>
        <v>0.24197368421052631</v>
      </c>
      <c r="CF28" s="108">
        <f t="shared" si="6"/>
        <v>0.55247368421052634</v>
      </c>
      <c r="CG28" s="78">
        <v>1072464238</v>
      </c>
      <c r="CH28" s="115">
        <v>73117</v>
      </c>
      <c r="CI28" s="116">
        <f t="shared" si="7"/>
        <v>14667.782294131324</v>
      </c>
      <c r="CJ28" s="78">
        <v>826667493</v>
      </c>
      <c r="CK28" s="115">
        <v>81622</v>
      </c>
      <c r="CL28" s="116">
        <f t="shared" si="8"/>
        <v>10127.998493053343</v>
      </c>
      <c r="CM28" s="108">
        <f t="shared" si="9"/>
        <v>0.29733447496283733</v>
      </c>
      <c r="CN28" s="108">
        <f t="shared" si="10"/>
        <v>0.44824096332476332</v>
      </c>
      <c r="CO28" s="117">
        <v>8.4600000000000009</v>
      </c>
      <c r="CP28" s="82">
        <v>-0.14000000000000001</v>
      </c>
      <c r="CQ28" s="118">
        <v>-9.2999999999999999E-2</v>
      </c>
    </row>
    <row r="29" spans="1:95" ht="13" x14ac:dyDescent="0.3">
      <c r="A29" s="85" t="s">
        <v>121</v>
      </c>
      <c r="B29" s="86" t="s">
        <v>122</v>
      </c>
      <c r="C29" s="86" t="s">
        <v>52</v>
      </c>
      <c r="D29" s="87"/>
      <c r="E29" s="87"/>
      <c r="F29" s="87"/>
      <c r="G29" s="86"/>
      <c r="H29" s="87" t="s">
        <v>306</v>
      </c>
      <c r="I29" s="86" t="s">
        <v>60</v>
      </c>
      <c r="J29" s="86" t="s">
        <v>60</v>
      </c>
      <c r="K29" s="86" t="s">
        <v>307</v>
      </c>
      <c r="L29" s="86" t="s">
        <v>311</v>
      </c>
      <c r="M29" s="86" t="s">
        <v>60</v>
      </c>
      <c r="N29" s="86" t="s">
        <v>60</v>
      </c>
      <c r="O29" s="88">
        <v>22323832</v>
      </c>
      <c r="P29" s="88">
        <v>39204724</v>
      </c>
      <c r="Q29" s="88">
        <v>20225084</v>
      </c>
      <c r="R29" s="88">
        <v>81753640</v>
      </c>
      <c r="S29" s="89">
        <f t="shared" si="0"/>
        <v>0.27306223918592493</v>
      </c>
      <c r="T29" s="90">
        <v>31502</v>
      </c>
      <c r="U29" s="86">
        <v>4</v>
      </c>
      <c r="V29" s="86">
        <v>0</v>
      </c>
      <c r="W29" s="86">
        <v>27884</v>
      </c>
      <c r="X29" s="86">
        <v>0</v>
      </c>
      <c r="Y29" s="119">
        <v>0</v>
      </c>
      <c r="Z29" s="86">
        <v>3</v>
      </c>
      <c r="AA29" s="86">
        <v>1</v>
      </c>
      <c r="AB29" s="86">
        <v>41895</v>
      </c>
      <c r="AC29" s="86">
        <v>4489</v>
      </c>
      <c r="AD29" s="120">
        <v>0.107</v>
      </c>
      <c r="AE29" s="121">
        <v>-1.11E-2</v>
      </c>
      <c r="AF29" s="121">
        <v>0.15379999999999999</v>
      </c>
      <c r="AG29" s="121">
        <v>0.13800000000000001</v>
      </c>
      <c r="AH29" s="121">
        <v>0.22320000000000001</v>
      </c>
      <c r="AI29" s="121">
        <v>5.6500000000000002E-2</v>
      </c>
      <c r="AJ29" s="121">
        <v>0.21160000000000001</v>
      </c>
      <c r="AK29" s="121">
        <v>-0.21629999999999999</v>
      </c>
      <c r="AL29" s="121">
        <v>-0.36859999999999998</v>
      </c>
      <c r="AM29" s="121">
        <v>-9.2999999999999999E-2</v>
      </c>
      <c r="AN29" s="121">
        <v>-1.6799999999999999E-2</v>
      </c>
      <c r="AO29" s="121">
        <v>-0.13819999999999999</v>
      </c>
      <c r="AP29" s="121">
        <v>-0.18029999999999999</v>
      </c>
      <c r="AQ29" s="121">
        <v>0.1966</v>
      </c>
      <c r="AR29" s="121">
        <v>0.51380000000000003</v>
      </c>
      <c r="AS29" s="121">
        <v>-0.127</v>
      </c>
      <c r="AT29" s="121">
        <v>-0.14019999999999999</v>
      </c>
      <c r="AU29" s="122">
        <v>-3867</v>
      </c>
      <c r="AV29" s="123">
        <v>-0.124</v>
      </c>
      <c r="AW29" s="122">
        <v>-690</v>
      </c>
      <c r="AX29" s="123">
        <v>-1.6E-2</v>
      </c>
      <c r="AY29" s="122">
        <v>3170</v>
      </c>
      <c r="AZ29" s="123">
        <v>0.214</v>
      </c>
      <c r="BA29" s="122">
        <v>7782</v>
      </c>
      <c r="BB29" s="123">
        <v>0.54100000000000004</v>
      </c>
      <c r="BC29" s="122">
        <v>11</v>
      </c>
      <c r="BD29" s="123">
        <v>0.57599999999999996</v>
      </c>
      <c r="BE29" s="122">
        <v>7975</v>
      </c>
      <c r="BF29" s="123">
        <v>0.78700000000000003</v>
      </c>
      <c r="BG29" s="122">
        <v>16</v>
      </c>
      <c r="BH29" s="123">
        <v>0.44900000000000001</v>
      </c>
      <c r="BI29" s="122">
        <v>252</v>
      </c>
      <c r="BJ29" s="123">
        <v>0.39200000000000002</v>
      </c>
      <c r="BK29" s="91">
        <v>5.2</v>
      </c>
      <c r="BL29" s="91">
        <v>5.6</v>
      </c>
      <c r="BM29" s="92">
        <f t="shared" si="1"/>
        <v>7.6923076923076816E-2</v>
      </c>
      <c r="BN29" s="91">
        <v>4.3</v>
      </c>
      <c r="BO29" s="91">
        <v>5.3</v>
      </c>
      <c r="BP29" s="92">
        <f t="shared" si="2"/>
        <v>-0.18867924528301888</v>
      </c>
      <c r="BQ29" s="90">
        <v>1674</v>
      </c>
      <c r="BR29" s="124">
        <v>12</v>
      </c>
      <c r="BS29" s="86"/>
      <c r="BT29" s="124">
        <v>1520</v>
      </c>
      <c r="BU29" s="86"/>
      <c r="BV29" s="93">
        <f t="shared" si="11"/>
        <v>0.90800477897252085</v>
      </c>
      <c r="BW29" s="86"/>
      <c r="BX29" s="120">
        <v>0.36</v>
      </c>
      <c r="BY29" s="120">
        <v>0.30499999999999999</v>
      </c>
      <c r="BZ29" s="125">
        <f t="shared" si="4"/>
        <v>0.18032786885245899</v>
      </c>
      <c r="CA29" s="120">
        <v>8.9999999999999993E-3</v>
      </c>
      <c r="CB29" s="126">
        <v>36000</v>
      </c>
      <c r="CC29" s="126">
        <v>44774</v>
      </c>
      <c r="CD29" s="126">
        <v>58000</v>
      </c>
      <c r="CE29" s="120">
        <f t="shared" si="5"/>
        <v>0.24372222222222223</v>
      </c>
      <c r="CF29" s="120">
        <f t="shared" si="6"/>
        <v>0.61111111111111116</v>
      </c>
      <c r="CG29" s="88">
        <v>746558669</v>
      </c>
      <c r="CH29" s="127">
        <v>75330</v>
      </c>
      <c r="CI29" s="128">
        <f t="shared" si="7"/>
        <v>9910.5093455462629</v>
      </c>
      <c r="CJ29" s="88">
        <v>560234286</v>
      </c>
      <c r="CK29" s="127">
        <v>64497</v>
      </c>
      <c r="CL29" s="128">
        <f t="shared" si="8"/>
        <v>8686.2068933438768</v>
      </c>
      <c r="CM29" s="120">
        <f t="shared" si="9"/>
        <v>0.33258297047532004</v>
      </c>
      <c r="CN29" s="120">
        <f t="shared" si="10"/>
        <v>0.14094788061524904</v>
      </c>
      <c r="CO29" s="129">
        <v>3.92</v>
      </c>
      <c r="CP29" s="92">
        <v>-0.23499999999999999</v>
      </c>
      <c r="CQ29" s="130">
        <v>-0.23699999999999999</v>
      </c>
    </row>
    <row r="30" spans="1:95" ht="13" x14ac:dyDescent="0.3">
      <c r="A30" s="75" t="s">
        <v>123</v>
      </c>
      <c r="B30" s="76" t="s">
        <v>124</v>
      </c>
      <c r="C30" s="76" t="s">
        <v>52</v>
      </c>
      <c r="D30" s="77"/>
      <c r="E30" s="77"/>
      <c r="F30" s="77"/>
      <c r="G30" s="76"/>
      <c r="H30" s="77" t="s">
        <v>310</v>
      </c>
      <c r="I30" s="76" t="s">
        <v>53</v>
      </c>
      <c r="J30" s="76" t="s">
        <v>53</v>
      </c>
      <c r="K30" s="76" t="s">
        <v>307</v>
      </c>
      <c r="L30" s="76" t="s">
        <v>307</v>
      </c>
      <c r="M30" s="76" t="s">
        <v>60</v>
      </c>
      <c r="N30" s="76" t="s">
        <v>53</v>
      </c>
      <c r="O30" s="78">
        <v>2295580</v>
      </c>
      <c r="P30" s="78">
        <v>1580554</v>
      </c>
      <c r="Q30" s="78"/>
      <c r="R30" s="78">
        <v>3876134</v>
      </c>
      <c r="S30" s="79">
        <f t="shared" si="0"/>
        <v>0.59223442739595689</v>
      </c>
      <c r="T30" s="80">
        <v>12034</v>
      </c>
      <c r="U30" s="76">
        <v>7</v>
      </c>
      <c r="V30" s="76">
        <v>5</v>
      </c>
      <c r="W30" s="76">
        <v>7186</v>
      </c>
      <c r="X30" s="76">
        <v>6146</v>
      </c>
      <c r="Y30" s="131">
        <v>0.85499999999999998</v>
      </c>
      <c r="Z30" s="76">
        <v>5</v>
      </c>
      <c r="AA30" s="76">
        <v>1</v>
      </c>
      <c r="AB30" s="76">
        <v>20550</v>
      </c>
      <c r="AC30" s="76">
        <v>1021</v>
      </c>
      <c r="AD30" s="108">
        <v>0.05</v>
      </c>
      <c r="AE30" s="109">
        <v>-0.1535</v>
      </c>
      <c r="AF30" s="109">
        <v>-0.17680000000000001</v>
      </c>
      <c r="AG30" s="109">
        <v>-0.25819999999999999</v>
      </c>
      <c r="AH30" s="109">
        <v>-0.38800000000000001</v>
      </c>
      <c r="AI30" s="109">
        <v>-3.1899999999999998E-2</v>
      </c>
      <c r="AJ30" s="109">
        <v>-3.27E-2</v>
      </c>
      <c r="AK30" s="134"/>
      <c r="AL30" s="134"/>
      <c r="AM30" s="109">
        <v>-0.32490000000000002</v>
      </c>
      <c r="AN30" s="109">
        <v>-0.45839999999999997</v>
      </c>
      <c r="AO30" s="109">
        <v>-0.17860000000000001</v>
      </c>
      <c r="AP30" s="109">
        <v>-0.33800000000000002</v>
      </c>
      <c r="AQ30" s="109">
        <v>0.1421</v>
      </c>
      <c r="AR30" s="109">
        <v>0.59389999999999998</v>
      </c>
      <c r="AS30" s="109">
        <v>-0.17369999999999999</v>
      </c>
      <c r="AT30" s="109">
        <v>-0.44779999999999998</v>
      </c>
      <c r="AU30" s="110">
        <v>-1918</v>
      </c>
      <c r="AV30" s="111">
        <v>-0.21299999999999999</v>
      </c>
      <c r="AW30" s="110">
        <v>-3779</v>
      </c>
      <c r="AX30" s="111">
        <v>-0.16</v>
      </c>
      <c r="AY30" s="110">
        <v>1447</v>
      </c>
      <c r="AZ30" s="111">
        <v>0.33500000000000002</v>
      </c>
      <c r="BA30" s="110">
        <v>5194</v>
      </c>
      <c r="BB30" s="111">
        <v>0.67700000000000005</v>
      </c>
      <c r="BC30" s="110">
        <v>1323</v>
      </c>
      <c r="BD30" s="111">
        <v>0.59099999999999997</v>
      </c>
      <c r="BE30" s="110">
        <v>4539</v>
      </c>
      <c r="BF30" s="111">
        <v>0.79900000000000004</v>
      </c>
      <c r="BG30" s="110">
        <v>977</v>
      </c>
      <c r="BH30" s="111">
        <v>0.45700000000000002</v>
      </c>
      <c r="BI30" s="110">
        <v>11</v>
      </c>
      <c r="BJ30" s="111">
        <v>0.55900000000000005</v>
      </c>
      <c r="BK30" s="81">
        <v>2.2999999999999998</v>
      </c>
      <c r="BL30" s="81">
        <v>2.6</v>
      </c>
      <c r="BM30" s="82">
        <f t="shared" si="1"/>
        <v>0.13043478260869579</v>
      </c>
      <c r="BN30" s="81">
        <v>4.8</v>
      </c>
      <c r="BO30" s="81">
        <v>5.5</v>
      </c>
      <c r="BP30" s="82">
        <f t="shared" si="2"/>
        <v>-0.12727272727272732</v>
      </c>
      <c r="BQ30" s="76">
        <v>739</v>
      </c>
      <c r="BR30" s="112">
        <v>10</v>
      </c>
      <c r="BS30" s="76"/>
      <c r="BT30" s="112">
        <v>660</v>
      </c>
      <c r="BU30" s="76"/>
      <c r="BV30" s="83">
        <f t="shared" si="11"/>
        <v>0.89309878213802441</v>
      </c>
      <c r="BW30" s="76"/>
      <c r="BX30" s="108">
        <v>0.51700000000000002</v>
      </c>
      <c r="BY30" s="108">
        <v>0.46700000000000003</v>
      </c>
      <c r="BZ30" s="113">
        <f t="shared" si="4"/>
        <v>0.10706638115631689</v>
      </c>
      <c r="CA30" s="108">
        <v>3.0000000000000001E-3</v>
      </c>
      <c r="CB30" s="114">
        <v>42000</v>
      </c>
      <c r="CC30" s="114">
        <v>55000</v>
      </c>
      <c r="CD30" s="114">
        <v>67530</v>
      </c>
      <c r="CE30" s="108">
        <f t="shared" si="5"/>
        <v>0.30952380952380953</v>
      </c>
      <c r="CF30" s="108">
        <f t="shared" si="6"/>
        <v>0.60785714285714287</v>
      </c>
      <c r="CG30" s="78">
        <v>154411553</v>
      </c>
      <c r="CH30" s="115">
        <v>30009</v>
      </c>
      <c r="CI30" s="116">
        <f t="shared" si="7"/>
        <v>5145.508114232397</v>
      </c>
      <c r="CJ30" s="78">
        <v>109000000</v>
      </c>
      <c r="CK30" s="115">
        <v>36988</v>
      </c>
      <c r="CL30" s="116">
        <f t="shared" si="8"/>
        <v>2946.9016978479508</v>
      </c>
      <c r="CM30" s="108">
        <f t="shared" si="9"/>
        <v>0.41661975229357801</v>
      </c>
      <c r="CN30" s="108">
        <f t="shared" si="10"/>
        <v>0.74607389109383393</v>
      </c>
      <c r="CO30" s="117">
        <v>1.54</v>
      </c>
      <c r="CP30" s="82">
        <v>-9.7000000000000003E-2</v>
      </c>
      <c r="CQ30" s="118">
        <v>0.20899999999999999</v>
      </c>
    </row>
    <row r="31" spans="1:95" ht="13" x14ac:dyDescent="0.3">
      <c r="A31" s="85" t="s">
        <v>125</v>
      </c>
      <c r="B31" s="86" t="s">
        <v>126</v>
      </c>
      <c r="C31" s="86" t="s">
        <v>69</v>
      </c>
      <c r="D31" s="87" t="s">
        <v>102</v>
      </c>
      <c r="E31" s="87" t="s">
        <v>127</v>
      </c>
      <c r="F31" s="87" t="s">
        <v>329</v>
      </c>
      <c r="G31" s="86"/>
      <c r="H31" s="87" t="s">
        <v>315</v>
      </c>
      <c r="I31" s="86" t="s">
        <v>60</v>
      </c>
      <c r="J31" s="86" t="s">
        <v>60</v>
      </c>
      <c r="K31" s="86" t="s">
        <v>311</v>
      </c>
      <c r="L31" s="86" t="s">
        <v>311</v>
      </c>
      <c r="M31" s="86" t="s">
        <v>60</v>
      </c>
      <c r="N31" s="86" t="s">
        <v>60</v>
      </c>
      <c r="O31" s="88">
        <v>485985790</v>
      </c>
      <c r="P31" s="88">
        <v>7268206</v>
      </c>
      <c r="Q31" s="88">
        <v>30000</v>
      </c>
      <c r="R31" s="88">
        <v>493283996</v>
      </c>
      <c r="S31" s="89">
        <f t="shared" si="0"/>
        <v>0.98520485955518411</v>
      </c>
      <c r="T31" s="90">
        <v>97119</v>
      </c>
      <c r="U31" s="86">
        <v>19</v>
      </c>
      <c r="V31" s="86">
        <v>15</v>
      </c>
      <c r="W31" s="86">
        <v>84613</v>
      </c>
      <c r="X31" s="86">
        <v>75397</v>
      </c>
      <c r="Y31" s="119">
        <v>0.89100000000000001</v>
      </c>
      <c r="Z31" s="86">
        <v>13</v>
      </c>
      <c r="AA31" s="86">
        <v>0</v>
      </c>
      <c r="AB31" s="86">
        <v>134966</v>
      </c>
      <c r="AC31" s="86">
        <v>0</v>
      </c>
      <c r="AD31" s="120">
        <v>0</v>
      </c>
      <c r="AE31" s="121">
        <v>-5.4399999999999997E-2</v>
      </c>
      <c r="AF31" s="121">
        <v>6.1699999999999998E-2</v>
      </c>
      <c r="AG31" s="121">
        <v>-0.1779</v>
      </c>
      <c r="AH31" s="121">
        <v>-0.40849999999999997</v>
      </c>
      <c r="AI31" s="121">
        <v>-3.0499999999999999E-2</v>
      </c>
      <c r="AJ31" s="121">
        <v>2.23E-2</v>
      </c>
      <c r="AK31" s="121">
        <v>1.9E-3</v>
      </c>
      <c r="AL31" s="121">
        <v>-6.4500000000000002E-2</v>
      </c>
      <c r="AM31" s="121">
        <v>-0.23530000000000001</v>
      </c>
      <c r="AN31" s="121">
        <v>-0.42180000000000001</v>
      </c>
      <c r="AO31" s="121">
        <v>-0.12959999999999999</v>
      </c>
      <c r="AP31" s="121">
        <v>-0.2049</v>
      </c>
      <c r="AQ31" s="121">
        <v>0.2286</v>
      </c>
      <c r="AR31" s="121">
        <v>0.81159999999999999</v>
      </c>
      <c r="AS31" s="121">
        <v>-3.6900000000000002E-2</v>
      </c>
      <c r="AT31" s="121">
        <v>-9.8599999999999993E-2</v>
      </c>
      <c r="AU31" s="122">
        <v>-16152</v>
      </c>
      <c r="AV31" s="123">
        <v>-0.16200000000000001</v>
      </c>
      <c r="AW31" s="122">
        <v>-8255</v>
      </c>
      <c r="AX31" s="123">
        <v>-5.8999999999999997E-2</v>
      </c>
      <c r="AY31" s="122">
        <v>20119</v>
      </c>
      <c r="AZ31" s="123">
        <v>0.28299999999999997</v>
      </c>
      <c r="BA31" s="122">
        <v>22019</v>
      </c>
      <c r="BB31" s="123">
        <v>0.70599999999999996</v>
      </c>
      <c r="BC31" s="122">
        <v>18533</v>
      </c>
      <c r="BD31" s="123">
        <v>0.64900000000000002</v>
      </c>
      <c r="BE31" s="122">
        <v>23137</v>
      </c>
      <c r="BF31" s="123">
        <v>0.85199999999999998</v>
      </c>
      <c r="BG31" s="122">
        <v>6390</v>
      </c>
      <c r="BH31" s="123">
        <v>0.46400000000000002</v>
      </c>
      <c r="BI31" s="122">
        <v>207</v>
      </c>
      <c r="BJ31" s="123">
        <v>0.59199999999999997</v>
      </c>
      <c r="BK31" s="91">
        <v>4.3</v>
      </c>
      <c r="BL31" s="91">
        <v>4.5</v>
      </c>
      <c r="BM31" s="92">
        <f t="shared" si="1"/>
        <v>4.6511627906976785E-2</v>
      </c>
      <c r="BN31" s="91">
        <v>4.2</v>
      </c>
      <c r="BO31" s="91">
        <v>4.8</v>
      </c>
      <c r="BP31" s="92">
        <f t="shared" si="2"/>
        <v>-0.12499999999999993</v>
      </c>
      <c r="BQ31" s="90">
        <v>4897</v>
      </c>
      <c r="BR31" s="124">
        <v>11</v>
      </c>
      <c r="BS31" s="86"/>
      <c r="BT31" s="124">
        <v>3540</v>
      </c>
      <c r="BU31" s="86"/>
      <c r="BV31" s="93">
        <f t="shared" si="11"/>
        <v>0.72289156626506024</v>
      </c>
      <c r="BW31" s="86"/>
      <c r="BX31" s="120">
        <v>0.52800000000000002</v>
      </c>
      <c r="BY31" s="120">
        <v>0.45900000000000002</v>
      </c>
      <c r="BZ31" s="125">
        <f t="shared" si="4"/>
        <v>0.15032679738562091</v>
      </c>
      <c r="CA31" s="120">
        <v>0.02</v>
      </c>
      <c r="CB31" s="126">
        <v>37142</v>
      </c>
      <c r="CC31" s="126">
        <v>49522</v>
      </c>
      <c r="CD31" s="126">
        <v>75000</v>
      </c>
      <c r="CE31" s="120">
        <f t="shared" si="5"/>
        <v>0.33331538420117385</v>
      </c>
      <c r="CF31" s="120">
        <f t="shared" si="6"/>
        <v>1.0192773679392602</v>
      </c>
      <c r="CG31" s="88">
        <v>3090507000</v>
      </c>
      <c r="CH31" s="127">
        <v>245657</v>
      </c>
      <c r="CI31" s="128">
        <f t="shared" si="7"/>
        <v>12580.577797498137</v>
      </c>
      <c r="CJ31" s="88">
        <v>2473703681</v>
      </c>
      <c r="CK31" s="127">
        <v>279965</v>
      </c>
      <c r="CL31" s="128">
        <f t="shared" si="8"/>
        <v>8835.760473630633</v>
      </c>
      <c r="CM31" s="120">
        <f t="shared" si="9"/>
        <v>0.24934405997676162</v>
      </c>
      <c r="CN31" s="120">
        <f t="shared" si="10"/>
        <v>0.42382512914915527</v>
      </c>
      <c r="CO31" s="129">
        <v>4.12</v>
      </c>
      <c r="CP31" s="92">
        <v>-0.104</v>
      </c>
      <c r="CQ31" s="130">
        <v>-0.14499999999999999</v>
      </c>
    </row>
    <row r="32" spans="1:95" ht="13" x14ac:dyDescent="0.3">
      <c r="A32" s="75" t="s">
        <v>128</v>
      </c>
      <c r="B32" s="76" t="s">
        <v>129</v>
      </c>
      <c r="C32" s="76" t="s">
        <v>52</v>
      </c>
      <c r="D32" s="77"/>
      <c r="E32" s="77"/>
      <c r="F32" s="77"/>
      <c r="G32" s="76"/>
      <c r="H32" s="77" t="s">
        <v>308</v>
      </c>
      <c r="I32" s="76" t="s">
        <v>60</v>
      </c>
      <c r="J32" s="76" t="s">
        <v>60</v>
      </c>
      <c r="K32" s="76" t="s">
        <v>311</v>
      </c>
      <c r="L32" s="76" t="s">
        <v>311</v>
      </c>
      <c r="M32" s="76" t="s">
        <v>60</v>
      </c>
      <c r="N32" s="76" t="s">
        <v>60</v>
      </c>
      <c r="O32" s="78">
        <v>17661948</v>
      </c>
      <c r="P32" s="78">
        <v>225138399</v>
      </c>
      <c r="Q32" s="78">
        <v>5010803</v>
      </c>
      <c r="R32" s="78">
        <v>247811150</v>
      </c>
      <c r="S32" s="79">
        <f t="shared" si="0"/>
        <v>7.127180516292346E-2</v>
      </c>
      <c r="T32" s="80">
        <v>19026</v>
      </c>
      <c r="U32" s="76">
        <v>20</v>
      </c>
      <c r="V32" s="76">
        <v>16</v>
      </c>
      <c r="W32" s="76">
        <v>31314</v>
      </c>
      <c r="X32" s="76">
        <v>28583</v>
      </c>
      <c r="Y32" s="131">
        <v>0.91300000000000003</v>
      </c>
      <c r="Z32" s="76">
        <v>8</v>
      </c>
      <c r="AA32" s="76">
        <v>4</v>
      </c>
      <c r="AB32" s="76">
        <v>31985</v>
      </c>
      <c r="AC32" s="76">
        <v>4051</v>
      </c>
      <c r="AD32" s="108">
        <v>0.127</v>
      </c>
      <c r="AE32" s="109">
        <v>-0.1052</v>
      </c>
      <c r="AF32" s="109">
        <v>-0.26179999999999998</v>
      </c>
      <c r="AG32" s="109">
        <v>-6.3299999999999995E-2</v>
      </c>
      <c r="AH32" s="109">
        <v>-0.1072</v>
      </c>
      <c r="AI32" s="109">
        <v>2.87E-2</v>
      </c>
      <c r="AJ32" s="109">
        <v>0.18410000000000001</v>
      </c>
      <c r="AK32" s="109">
        <v>0.75029999999999997</v>
      </c>
      <c r="AL32" s="109">
        <v>-0.23139999999999999</v>
      </c>
      <c r="AM32" s="109">
        <v>-0.26500000000000001</v>
      </c>
      <c r="AN32" s="109">
        <v>-0.48099999999999998</v>
      </c>
      <c r="AO32" s="109">
        <v>-0.1056</v>
      </c>
      <c r="AP32" s="109">
        <v>-0.23469999999999999</v>
      </c>
      <c r="AQ32" s="109">
        <v>6.8900000000000003E-2</v>
      </c>
      <c r="AR32" s="109">
        <v>0.73180000000000001</v>
      </c>
      <c r="AS32" s="109">
        <v>0.65859999999999996</v>
      </c>
      <c r="AT32" s="109">
        <v>0.39369999999999999</v>
      </c>
      <c r="AU32" s="110">
        <v>-6967</v>
      </c>
      <c r="AV32" s="111">
        <v>-0.18099999999999999</v>
      </c>
      <c r="AW32" s="110">
        <v>-2401</v>
      </c>
      <c r="AX32" s="111">
        <v>-6.9000000000000006E-2</v>
      </c>
      <c r="AY32" s="110">
        <v>5934</v>
      </c>
      <c r="AZ32" s="111">
        <v>0.26200000000000001</v>
      </c>
      <c r="BA32" s="110">
        <v>6614</v>
      </c>
      <c r="BB32" s="111">
        <v>0.49299999999999999</v>
      </c>
      <c r="BC32" s="110">
        <v>5263</v>
      </c>
      <c r="BD32" s="111">
        <v>0.58299999999999996</v>
      </c>
      <c r="BE32" s="110">
        <v>5968</v>
      </c>
      <c r="BF32" s="111">
        <v>0.71099999999999997</v>
      </c>
      <c r="BG32" s="110">
        <v>2995</v>
      </c>
      <c r="BH32" s="111">
        <v>0.38600000000000001</v>
      </c>
      <c r="BI32" s="110">
        <v>166</v>
      </c>
      <c r="BJ32" s="111">
        <v>0.38900000000000001</v>
      </c>
      <c r="BK32" s="81">
        <v>3.7</v>
      </c>
      <c r="BL32" s="81">
        <v>4.0999999999999996</v>
      </c>
      <c r="BM32" s="82">
        <f t="shared" si="1"/>
        <v>0.10810810810810796</v>
      </c>
      <c r="BN32" s="81">
        <v>5.4</v>
      </c>
      <c r="BO32" s="81">
        <v>6.2</v>
      </c>
      <c r="BP32" s="82">
        <f t="shared" si="2"/>
        <v>-0.1290322580645161</v>
      </c>
      <c r="BQ32" s="80">
        <v>1055</v>
      </c>
      <c r="BR32" s="112">
        <v>7</v>
      </c>
      <c r="BS32" s="76"/>
      <c r="BT32" s="112">
        <v>700</v>
      </c>
      <c r="BU32" s="76"/>
      <c r="BV32" s="83">
        <f t="shared" si="11"/>
        <v>0.6635071090047393</v>
      </c>
      <c r="BW32" s="76"/>
      <c r="BX32" s="108">
        <v>0.39300000000000002</v>
      </c>
      <c r="BY32" s="108">
        <v>0.34200000000000003</v>
      </c>
      <c r="BZ32" s="113">
        <f t="shared" si="4"/>
        <v>0.14912280701754382</v>
      </c>
      <c r="CA32" s="108">
        <v>7.0000000000000001E-3</v>
      </c>
      <c r="CB32" s="114">
        <v>29155</v>
      </c>
      <c r="CC32" s="114">
        <v>40000</v>
      </c>
      <c r="CD32" s="114">
        <v>53000</v>
      </c>
      <c r="CE32" s="108">
        <f t="shared" si="5"/>
        <v>0.37197736237352086</v>
      </c>
      <c r="CF32" s="108">
        <f t="shared" si="6"/>
        <v>0.81787000514491515</v>
      </c>
      <c r="CG32" s="78">
        <v>1591418041</v>
      </c>
      <c r="CH32" s="115">
        <v>73523</v>
      </c>
      <c r="CI32" s="116">
        <f t="shared" si="7"/>
        <v>21645.172816669612</v>
      </c>
      <c r="CJ32" s="78">
        <v>1052864330</v>
      </c>
      <c r="CK32" s="115">
        <v>99041</v>
      </c>
      <c r="CL32" s="116">
        <f t="shared" si="8"/>
        <v>10630.590664472289</v>
      </c>
      <c r="CM32" s="108">
        <f t="shared" si="9"/>
        <v>0.51151292303729201</v>
      </c>
      <c r="CN32" s="108">
        <f t="shared" si="10"/>
        <v>1.0361213689666693</v>
      </c>
      <c r="CO32" s="117">
        <v>12.41</v>
      </c>
      <c r="CP32" s="82">
        <v>-4.2999999999999997E-2</v>
      </c>
      <c r="CQ32" s="118">
        <v>-7.8E-2</v>
      </c>
    </row>
    <row r="33" spans="1:95" ht="13" x14ac:dyDescent="0.3">
      <c r="A33" s="85" t="s">
        <v>130</v>
      </c>
      <c r="B33" s="86" t="s">
        <v>131</v>
      </c>
      <c r="C33" s="86" t="s">
        <v>64</v>
      </c>
      <c r="D33" s="87" t="s">
        <v>132</v>
      </c>
      <c r="E33" s="87" t="s">
        <v>133</v>
      </c>
      <c r="F33" s="87" t="s">
        <v>330</v>
      </c>
      <c r="G33" s="86"/>
      <c r="H33" s="87" t="s">
        <v>310</v>
      </c>
      <c r="I33" s="86" t="s">
        <v>53</v>
      </c>
      <c r="J33" s="86" t="s">
        <v>53</v>
      </c>
      <c r="K33" s="86" t="s">
        <v>311</v>
      </c>
      <c r="L33" s="86" t="s">
        <v>311</v>
      </c>
      <c r="M33" s="86" t="s">
        <v>60</v>
      </c>
      <c r="N33" s="86" t="s">
        <v>53</v>
      </c>
      <c r="O33" s="88">
        <v>670294800</v>
      </c>
      <c r="P33" s="88">
        <v>36610199</v>
      </c>
      <c r="Q33" s="88">
        <v>137457417</v>
      </c>
      <c r="R33" s="88">
        <v>844362416</v>
      </c>
      <c r="S33" s="89">
        <f t="shared" si="0"/>
        <v>0.79384727138305033</v>
      </c>
      <c r="T33" s="90">
        <v>178129</v>
      </c>
      <c r="U33" s="86">
        <v>38</v>
      </c>
      <c r="V33" s="86">
        <v>36</v>
      </c>
      <c r="W33" s="86">
        <v>151503</v>
      </c>
      <c r="X33" s="86">
        <v>146197</v>
      </c>
      <c r="Y33" s="119">
        <v>0.96499999999999997</v>
      </c>
      <c r="Z33" s="86">
        <v>41</v>
      </c>
      <c r="AA33" s="86">
        <v>4</v>
      </c>
      <c r="AB33" s="86">
        <v>281044</v>
      </c>
      <c r="AC33" s="86">
        <v>24224</v>
      </c>
      <c r="AD33" s="120">
        <v>8.5999999999999993E-2</v>
      </c>
      <c r="AE33" s="121">
        <v>-0.1208</v>
      </c>
      <c r="AF33" s="121">
        <v>-7.17E-2</v>
      </c>
      <c r="AG33" s="121">
        <v>-0.15759999999999999</v>
      </c>
      <c r="AH33" s="121">
        <v>-0.21149999999999999</v>
      </c>
      <c r="AI33" s="121">
        <v>-3.5999999999999997E-2</v>
      </c>
      <c r="AJ33" s="121">
        <v>3.3799999999999997E-2</v>
      </c>
      <c r="AK33" s="121">
        <v>-9.7999999999999997E-3</v>
      </c>
      <c r="AL33" s="121">
        <v>5.3400000000000003E-2</v>
      </c>
      <c r="AM33" s="121">
        <v>-0.33700000000000002</v>
      </c>
      <c r="AN33" s="121">
        <v>-0.4446</v>
      </c>
      <c r="AO33" s="121">
        <v>-0.10680000000000001</v>
      </c>
      <c r="AP33" s="121">
        <v>-0.1691</v>
      </c>
      <c r="AQ33" s="121">
        <v>-3.5900000000000001E-2</v>
      </c>
      <c r="AR33" s="121">
        <v>0.21740000000000001</v>
      </c>
      <c r="AS33" s="121">
        <v>-2.92E-2</v>
      </c>
      <c r="AT33" s="121">
        <v>0.1076</v>
      </c>
      <c r="AU33" s="122">
        <v>-50188</v>
      </c>
      <c r="AV33" s="123">
        <v>-0.26</v>
      </c>
      <c r="AW33" s="122">
        <v>-34699</v>
      </c>
      <c r="AX33" s="123">
        <v>-0.115</v>
      </c>
      <c r="AY33" s="122">
        <v>45938</v>
      </c>
      <c r="AZ33" s="123">
        <v>0.26400000000000001</v>
      </c>
      <c r="BA33" s="122">
        <v>43574</v>
      </c>
      <c r="BB33" s="123">
        <v>0.64400000000000002</v>
      </c>
      <c r="BC33" s="122">
        <v>41247</v>
      </c>
      <c r="BD33" s="123">
        <v>0.57799999999999996</v>
      </c>
      <c r="BE33" s="122">
        <v>48140</v>
      </c>
      <c r="BF33" s="123">
        <v>0.80100000000000005</v>
      </c>
      <c r="BG33" s="122">
        <v>6154</v>
      </c>
      <c r="BH33" s="123">
        <v>0.38700000000000001</v>
      </c>
      <c r="BI33" s="122">
        <v>548</v>
      </c>
      <c r="BJ33" s="123">
        <v>0.53900000000000003</v>
      </c>
      <c r="BK33" s="91">
        <v>4.0999999999999996</v>
      </c>
      <c r="BL33" s="91">
        <v>4.3</v>
      </c>
      <c r="BM33" s="92">
        <f t="shared" si="1"/>
        <v>4.8780487804878099E-2</v>
      </c>
      <c r="BN33" s="91">
        <v>4.7</v>
      </c>
      <c r="BO33" s="91">
        <v>4.7</v>
      </c>
      <c r="BP33" s="92">
        <f t="shared" si="2"/>
        <v>0</v>
      </c>
      <c r="BQ33" s="90">
        <v>10527</v>
      </c>
      <c r="BR33" s="124">
        <v>20</v>
      </c>
      <c r="BS33" s="86"/>
      <c r="BT33" s="124">
        <v>2510</v>
      </c>
      <c r="BU33" s="86"/>
      <c r="BV33" s="93">
        <f t="shared" si="11"/>
        <v>0.23843450175738576</v>
      </c>
      <c r="BW33" s="86"/>
      <c r="BX33" s="120">
        <v>0.51500000000000001</v>
      </c>
      <c r="BY33" s="120">
        <v>0.45400000000000001</v>
      </c>
      <c r="BZ33" s="125">
        <f t="shared" si="4"/>
        <v>0.1343612334801762</v>
      </c>
      <c r="CA33" s="120">
        <v>5.0999999999999997E-2</v>
      </c>
      <c r="CB33" s="126">
        <v>35000</v>
      </c>
      <c r="CC33" s="126">
        <v>46856</v>
      </c>
      <c r="CD33" s="126">
        <v>70793</v>
      </c>
      <c r="CE33" s="120">
        <f t="shared" si="5"/>
        <v>0.33874285714285712</v>
      </c>
      <c r="CF33" s="120">
        <f t="shared" si="6"/>
        <v>1.0226571428571429</v>
      </c>
      <c r="CG33" s="88">
        <v>7461480675</v>
      </c>
      <c r="CH33" s="127">
        <v>452131</v>
      </c>
      <c r="CI33" s="128">
        <f t="shared" si="7"/>
        <v>16502.917683149353</v>
      </c>
      <c r="CJ33" s="88">
        <v>6051658619</v>
      </c>
      <c r="CK33" s="127">
        <v>572995</v>
      </c>
      <c r="CL33" s="128">
        <f t="shared" si="8"/>
        <v>10561.451005680678</v>
      </c>
      <c r="CM33" s="120">
        <f t="shared" si="9"/>
        <v>0.23296457132820961</v>
      </c>
      <c r="CN33" s="120">
        <f t="shared" si="10"/>
        <v>0.5625615906633421</v>
      </c>
      <c r="CO33" s="129">
        <v>4.6500000000000004</v>
      </c>
      <c r="CP33" s="92">
        <v>-0.18099999999999999</v>
      </c>
      <c r="CQ33" s="130">
        <v>-0.17299999999999999</v>
      </c>
    </row>
    <row r="34" spans="1:95" ht="13" x14ac:dyDescent="0.3">
      <c r="A34" s="75" t="s">
        <v>134</v>
      </c>
      <c r="B34" s="76" t="s">
        <v>135</v>
      </c>
      <c r="C34" s="76" t="s">
        <v>136</v>
      </c>
      <c r="D34" s="77" t="s">
        <v>132</v>
      </c>
      <c r="E34" s="77" t="s">
        <v>118</v>
      </c>
      <c r="F34" s="77" t="s">
        <v>327</v>
      </c>
      <c r="G34" s="76"/>
      <c r="H34" s="77" t="s">
        <v>313</v>
      </c>
      <c r="I34" s="76" t="s">
        <v>60</v>
      </c>
      <c r="J34" s="76" t="s">
        <v>60</v>
      </c>
      <c r="K34" s="76" t="s">
        <v>311</v>
      </c>
      <c r="L34" s="76" t="s">
        <v>307</v>
      </c>
      <c r="M34" s="76" t="s">
        <v>60</v>
      </c>
      <c r="N34" s="76" t="s">
        <v>60</v>
      </c>
      <c r="O34" s="78">
        <v>241842562</v>
      </c>
      <c r="P34" s="78">
        <v>5866043</v>
      </c>
      <c r="Q34" s="78">
        <v>23762868</v>
      </c>
      <c r="R34" s="78">
        <v>271471473</v>
      </c>
      <c r="S34" s="79">
        <f t="shared" si="0"/>
        <v>0.89085810500611973</v>
      </c>
      <c r="T34" s="80">
        <v>106316</v>
      </c>
      <c r="U34" s="76">
        <v>58</v>
      </c>
      <c r="V34" s="76">
        <v>23</v>
      </c>
      <c r="W34" s="76">
        <v>147755</v>
      </c>
      <c r="X34" s="76">
        <v>91650</v>
      </c>
      <c r="Y34" s="131">
        <v>0.62</v>
      </c>
      <c r="Z34" s="76">
        <v>17</v>
      </c>
      <c r="AA34" s="76">
        <v>0</v>
      </c>
      <c r="AB34" s="76">
        <v>178200</v>
      </c>
      <c r="AC34" s="76">
        <v>0</v>
      </c>
      <c r="AD34" s="108">
        <v>0</v>
      </c>
      <c r="AE34" s="109">
        <v>-2.5600000000000001E-2</v>
      </c>
      <c r="AF34" s="109">
        <v>5.3900000000000003E-2</v>
      </c>
      <c r="AG34" s="109">
        <v>8.3900000000000002E-2</v>
      </c>
      <c r="AH34" s="109">
        <v>0.18379999999999999</v>
      </c>
      <c r="AI34" s="109">
        <v>3.5999999999999999E-3</v>
      </c>
      <c r="AJ34" s="109">
        <v>7.7899999999999997E-2</v>
      </c>
      <c r="AK34" s="109">
        <v>-1.66E-2</v>
      </c>
      <c r="AL34" s="109">
        <v>0.46700000000000003</v>
      </c>
      <c r="AM34" s="109">
        <v>-0.1807</v>
      </c>
      <c r="AN34" s="109">
        <v>-0.3634</v>
      </c>
      <c r="AO34" s="109">
        <v>8.1500000000000003E-2</v>
      </c>
      <c r="AP34" s="109">
        <v>8.9700000000000002E-2</v>
      </c>
      <c r="AQ34" s="109">
        <v>0.17419999999999999</v>
      </c>
      <c r="AR34" s="109">
        <v>1.3085</v>
      </c>
      <c r="AS34" s="109">
        <v>-9.9900000000000003E-2</v>
      </c>
      <c r="AT34" s="109">
        <v>-0.22359999999999999</v>
      </c>
      <c r="AU34" s="110">
        <v>-12084</v>
      </c>
      <c r="AV34" s="111">
        <v>-7.4999999999999997E-2</v>
      </c>
      <c r="AW34" s="110">
        <v>-5355</v>
      </c>
      <c r="AX34" s="111">
        <v>-0.03</v>
      </c>
      <c r="AY34" s="110">
        <v>17511</v>
      </c>
      <c r="AZ34" s="111">
        <v>0.32900000000000001</v>
      </c>
      <c r="BA34" s="110">
        <v>33116</v>
      </c>
      <c r="BB34" s="111">
        <v>0.68600000000000005</v>
      </c>
      <c r="BC34" s="110">
        <v>16409</v>
      </c>
      <c r="BD34" s="111">
        <v>0.60499999999999998</v>
      </c>
      <c r="BE34" s="110">
        <v>34966</v>
      </c>
      <c r="BF34" s="111">
        <v>0.83899999999999997</v>
      </c>
      <c r="BG34" s="110">
        <v>14437</v>
      </c>
      <c r="BH34" s="111">
        <v>0.44400000000000001</v>
      </c>
      <c r="BI34" s="110">
        <v>403</v>
      </c>
      <c r="BJ34" s="111">
        <v>0.56000000000000005</v>
      </c>
      <c r="BK34" s="81">
        <v>3.5</v>
      </c>
      <c r="BL34" s="81">
        <v>3.6</v>
      </c>
      <c r="BM34" s="82">
        <f t="shared" ref="BM34:BM51" si="12">(BL34-BK34)/BK34</f>
        <v>2.8571428571428598E-2</v>
      </c>
      <c r="BN34" s="81">
        <v>5.4</v>
      </c>
      <c r="BO34" s="81">
        <v>5.2</v>
      </c>
      <c r="BP34" s="82">
        <f t="shared" ref="BP34:BP51" si="13">(BN34-BO34)/BO34</f>
        <v>3.8461538461538491E-2</v>
      </c>
      <c r="BQ34" s="80">
        <v>5475</v>
      </c>
      <c r="BR34" s="112">
        <v>12</v>
      </c>
      <c r="BS34" s="76"/>
      <c r="BT34" s="112">
        <v>4560</v>
      </c>
      <c r="BU34" s="76"/>
      <c r="BV34" s="83">
        <f t="shared" si="11"/>
        <v>0.83287671232876714</v>
      </c>
      <c r="BW34" s="76"/>
      <c r="BX34" s="108">
        <v>0.46700000000000003</v>
      </c>
      <c r="BY34" s="108">
        <v>0.38800000000000001</v>
      </c>
      <c r="BZ34" s="113">
        <f t="shared" ref="BZ34:BZ51" si="14">(BX34-BY34)/BY34</f>
        <v>0.20360824742268044</v>
      </c>
      <c r="CA34" s="108">
        <v>2.5999999999999999E-2</v>
      </c>
      <c r="CB34" s="114">
        <v>32279</v>
      </c>
      <c r="CC34" s="114">
        <v>42000</v>
      </c>
      <c r="CD34" s="114">
        <v>60000</v>
      </c>
      <c r="CE34" s="108">
        <f t="shared" ref="CE34:CE51" si="15">(CC34-CB34)/CB34</f>
        <v>0.30115555004801886</v>
      </c>
      <c r="CF34" s="108">
        <f t="shared" ref="CF34:CF51" si="16">(CD34-CB34)/CB34</f>
        <v>0.85879364292574123</v>
      </c>
      <c r="CG34" s="78">
        <v>5523573961</v>
      </c>
      <c r="CH34" s="115">
        <v>396524</v>
      </c>
      <c r="CI34" s="116">
        <f t="shared" ref="CI34:CI51" si="17">CG34/CH34</f>
        <v>13929.986485055129</v>
      </c>
      <c r="CJ34" s="78">
        <v>3845201949</v>
      </c>
      <c r="CK34" s="115">
        <v>405792</v>
      </c>
      <c r="CL34" s="116">
        <f t="shared" ref="CL34:CL51" si="18">CJ34/CK34</f>
        <v>9475.7953557487581</v>
      </c>
      <c r="CM34" s="108">
        <f t="shared" ref="CM34:CM51" si="19">(CG34-CJ34) / CJ34</f>
        <v>0.43648475015375582</v>
      </c>
      <c r="CN34" s="108">
        <f t="shared" ref="CN34:CN51" si="20">(CI34-CL34) / CL34</f>
        <v>0.47005986960283086</v>
      </c>
      <c r="CO34" s="117">
        <v>8.82</v>
      </c>
      <c r="CP34" s="82">
        <v>-0.114</v>
      </c>
      <c r="CQ34" s="118">
        <v>-0.17499999999999999</v>
      </c>
    </row>
    <row r="35" spans="1:95" ht="13" x14ac:dyDescent="0.3">
      <c r="A35" s="85" t="s">
        <v>137</v>
      </c>
      <c r="B35" s="86" t="s">
        <v>138</v>
      </c>
      <c r="C35" s="86" t="s">
        <v>52</v>
      </c>
      <c r="D35" s="87"/>
      <c r="E35" s="87"/>
      <c r="F35" s="87"/>
      <c r="G35" s="86"/>
      <c r="H35" s="87" t="s">
        <v>306</v>
      </c>
      <c r="I35" s="86" t="s">
        <v>60</v>
      </c>
      <c r="J35" s="86" t="s">
        <v>60</v>
      </c>
      <c r="K35" s="86" t="s">
        <v>307</v>
      </c>
      <c r="L35" s="86" t="s">
        <v>307</v>
      </c>
      <c r="M35" s="86" t="s">
        <v>53</v>
      </c>
      <c r="N35" s="86" t="s">
        <v>53</v>
      </c>
      <c r="O35" s="88">
        <v>12265665</v>
      </c>
      <c r="P35" s="88">
        <v>11321225</v>
      </c>
      <c r="Q35" s="88">
        <v>808311</v>
      </c>
      <c r="R35" s="88">
        <v>24395201</v>
      </c>
      <c r="S35" s="89">
        <f t="shared" si="0"/>
        <v>0.50279007744187065</v>
      </c>
      <c r="T35" s="90">
        <v>7101</v>
      </c>
      <c r="U35" s="86">
        <v>6</v>
      </c>
      <c r="V35" s="86">
        <v>1</v>
      </c>
      <c r="W35" s="86">
        <v>6901</v>
      </c>
      <c r="X35" s="86">
        <v>154</v>
      </c>
      <c r="Y35" s="119">
        <v>2.1999999999999999E-2</v>
      </c>
      <c r="Z35" s="86">
        <v>8</v>
      </c>
      <c r="AA35" s="86">
        <v>0</v>
      </c>
      <c r="AB35" s="86">
        <v>23375</v>
      </c>
      <c r="AC35" s="86">
        <v>0</v>
      </c>
      <c r="AD35" s="120">
        <v>0</v>
      </c>
      <c r="AE35" s="121">
        <v>-0.1174</v>
      </c>
      <c r="AF35" s="121">
        <v>-0.18149999999999999</v>
      </c>
      <c r="AG35" s="121">
        <v>7.1400000000000005E-2</v>
      </c>
      <c r="AH35" s="121">
        <v>6.8199999999999997E-2</v>
      </c>
      <c r="AI35" s="121">
        <v>5.6500000000000002E-2</v>
      </c>
      <c r="AJ35" s="121">
        <v>0.1525</v>
      </c>
      <c r="AK35" s="121">
        <v>-9.06E-2</v>
      </c>
      <c r="AL35" s="121">
        <v>-0.29799999999999999</v>
      </c>
      <c r="AM35" s="121">
        <v>-0.1077</v>
      </c>
      <c r="AN35" s="121">
        <v>-0.14549999999999999</v>
      </c>
      <c r="AO35" s="121">
        <v>3.0200000000000001E-2</v>
      </c>
      <c r="AP35" s="121">
        <v>7.7399999999999997E-2</v>
      </c>
      <c r="AQ35" s="121">
        <v>4.2500000000000003E-2</v>
      </c>
      <c r="AR35" s="121">
        <v>0.2482</v>
      </c>
      <c r="AS35" s="121">
        <v>-5.2499999999999998E-2</v>
      </c>
      <c r="AT35" s="121">
        <v>0.26540000000000002</v>
      </c>
      <c r="AU35" s="122">
        <v>-416</v>
      </c>
      <c r="AV35" s="123">
        <v>-5.7000000000000002E-2</v>
      </c>
      <c r="AW35" s="122">
        <v>-3016</v>
      </c>
      <c r="AX35" s="123">
        <v>-0.115</v>
      </c>
      <c r="AY35" s="122">
        <v>2006</v>
      </c>
      <c r="AZ35" s="123">
        <v>0.45600000000000002</v>
      </c>
      <c r="BA35" s="122">
        <v>5252</v>
      </c>
      <c r="BB35" s="123">
        <v>0.60299999999999998</v>
      </c>
      <c r="BC35" s="122">
        <v>1197</v>
      </c>
      <c r="BD35" s="123">
        <v>0.63900000000000001</v>
      </c>
      <c r="BE35" s="122">
        <v>4869</v>
      </c>
      <c r="BF35" s="123">
        <v>0.76100000000000001</v>
      </c>
      <c r="BG35" s="122">
        <v>134</v>
      </c>
      <c r="BH35" s="123">
        <v>0.35299999999999998</v>
      </c>
      <c r="BI35" s="122">
        <v>125</v>
      </c>
      <c r="BJ35" s="123">
        <v>0.46100000000000002</v>
      </c>
      <c r="BK35" s="91">
        <v>2</v>
      </c>
      <c r="BL35" s="91">
        <v>2.4</v>
      </c>
      <c r="BM35" s="92">
        <f t="shared" si="12"/>
        <v>0.19999999999999996</v>
      </c>
      <c r="BN35" s="91">
        <v>5.2</v>
      </c>
      <c r="BO35" s="91">
        <v>6</v>
      </c>
      <c r="BP35" s="92">
        <f t="shared" si="13"/>
        <v>-0.1333333333333333</v>
      </c>
      <c r="BQ35" s="86">
        <v>383</v>
      </c>
      <c r="BR35" s="124">
        <v>12</v>
      </c>
      <c r="BS35" s="86"/>
      <c r="BT35" s="124">
        <v>490</v>
      </c>
      <c r="BU35" s="86"/>
      <c r="BV35" s="93">
        <f t="shared" si="11"/>
        <v>1.2793733681462141</v>
      </c>
      <c r="BW35" s="86"/>
      <c r="BX35" s="120">
        <v>0.503</v>
      </c>
      <c r="BY35" s="120">
        <v>0.45800000000000002</v>
      </c>
      <c r="BZ35" s="125">
        <f t="shared" si="14"/>
        <v>9.8253275109170271E-2</v>
      </c>
      <c r="CA35" s="120">
        <v>2E-3</v>
      </c>
      <c r="CB35" s="126">
        <v>39800</v>
      </c>
      <c r="CC35" s="126">
        <v>50000</v>
      </c>
      <c r="CD35" s="126">
        <v>58994</v>
      </c>
      <c r="CE35" s="120">
        <f t="shared" si="15"/>
        <v>0.25628140703517588</v>
      </c>
      <c r="CF35" s="120">
        <f t="shared" si="16"/>
        <v>0.4822613065326633</v>
      </c>
      <c r="CG35" s="88">
        <v>391393275</v>
      </c>
      <c r="CH35" s="127">
        <v>33421</v>
      </c>
      <c r="CI35" s="128">
        <f t="shared" si="17"/>
        <v>11710.99832440681</v>
      </c>
      <c r="CJ35" s="88">
        <v>409693640</v>
      </c>
      <c r="CK35" s="127">
        <v>38175</v>
      </c>
      <c r="CL35" s="128">
        <f t="shared" si="18"/>
        <v>10731.987950229208</v>
      </c>
      <c r="CM35" s="120">
        <f t="shared" si="19"/>
        <v>-4.4668413695658056E-2</v>
      </c>
      <c r="CN35" s="120">
        <f t="shared" si="20"/>
        <v>9.1223581196500772E-2</v>
      </c>
      <c r="CO35" s="129">
        <v>7.61</v>
      </c>
      <c r="CP35" s="92">
        <v>-0.29199999999999998</v>
      </c>
      <c r="CQ35" s="130">
        <v>-0.27200000000000002</v>
      </c>
    </row>
    <row r="36" spans="1:95" ht="13" x14ac:dyDescent="0.3">
      <c r="A36" s="75" t="s">
        <v>139</v>
      </c>
      <c r="B36" s="76" t="s">
        <v>140</v>
      </c>
      <c r="C36" s="76" t="s">
        <v>64</v>
      </c>
      <c r="D36" s="77" t="s">
        <v>102</v>
      </c>
      <c r="E36" s="77" t="s">
        <v>141</v>
      </c>
      <c r="F36" s="77" t="s">
        <v>331</v>
      </c>
      <c r="G36" s="76"/>
      <c r="H36" s="77" t="s">
        <v>308</v>
      </c>
      <c r="I36" s="76" t="s">
        <v>60</v>
      </c>
      <c r="J36" s="76" t="s">
        <v>60</v>
      </c>
      <c r="K36" s="76" t="s">
        <v>307</v>
      </c>
      <c r="L36" s="76" t="s">
        <v>307</v>
      </c>
      <c r="M36" s="76" t="s">
        <v>53</v>
      </c>
      <c r="N36" s="76" t="s">
        <v>60</v>
      </c>
      <c r="O36" s="78">
        <v>113211719</v>
      </c>
      <c r="P36" s="78">
        <v>51269927</v>
      </c>
      <c r="Q36" s="78">
        <v>4270019</v>
      </c>
      <c r="R36" s="78">
        <v>168751665</v>
      </c>
      <c r="S36" s="79">
        <f t="shared" si="0"/>
        <v>0.67087764141467876</v>
      </c>
      <c r="T36" s="80">
        <v>120007</v>
      </c>
      <c r="U36" s="76">
        <v>42</v>
      </c>
      <c r="V36" s="76">
        <v>30</v>
      </c>
      <c r="W36" s="76">
        <v>134464</v>
      </c>
      <c r="X36" s="76">
        <v>92559</v>
      </c>
      <c r="Y36" s="131">
        <v>0.68799999999999994</v>
      </c>
      <c r="Z36" s="76">
        <v>17</v>
      </c>
      <c r="AA36" s="76">
        <v>4</v>
      </c>
      <c r="AB36" s="76">
        <v>195804</v>
      </c>
      <c r="AC36" s="76">
        <v>8345</v>
      </c>
      <c r="AD36" s="108">
        <v>4.2999999999999997E-2</v>
      </c>
      <c r="AE36" s="109">
        <v>-9.5500000000000002E-2</v>
      </c>
      <c r="AF36" s="109">
        <v>-9.4500000000000001E-2</v>
      </c>
      <c r="AG36" s="109">
        <v>-5.7599999999999998E-2</v>
      </c>
      <c r="AH36" s="109">
        <v>-0.15329999999999999</v>
      </c>
      <c r="AI36" s="109">
        <v>4.9099999999999998E-2</v>
      </c>
      <c r="AJ36" s="109">
        <v>0.14949999999999999</v>
      </c>
      <c r="AK36" s="109">
        <v>-3.1399999999999997E-2</v>
      </c>
      <c r="AL36" s="109">
        <v>-0.2369</v>
      </c>
      <c r="AM36" s="109">
        <v>-0.14829999999999999</v>
      </c>
      <c r="AN36" s="109">
        <v>-0.36530000000000001</v>
      </c>
      <c r="AO36" s="109">
        <v>6.2399999999999997E-2</v>
      </c>
      <c r="AP36" s="109">
        <v>0.08</v>
      </c>
      <c r="AQ36" s="109">
        <v>0.20369999999999999</v>
      </c>
      <c r="AR36" s="109">
        <v>0.62680000000000002</v>
      </c>
      <c r="AS36" s="109">
        <v>-0.1477</v>
      </c>
      <c r="AT36" s="109">
        <v>0.1827</v>
      </c>
      <c r="AU36" s="110">
        <v>-11049</v>
      </c>
      <c r="AV36" s="111">
        <v>-8.3000000000000004E-2</v>
      </c>
      <c r="AW36" s="110">
        <v>-23469</v>
      </c>
      <c r="AX36" s="111">
        <v>-0.11</v>
      </c>
      <c r="AY36" s="110">
        <v>19725</v>
      </c>
      <c r="AZ36" s="111">
        <v>0.255</v>
      </c>
      <c r="BA36" s="110">
        <v>42457</v>
      </c>
      <c r="BB36" s="111">
        <v>0.65700000000000003</v>
      </c>
      <c r="BC36" s="110">
        <v>13453</v>
      </c>
      <c r="BD36" s="111">
        <v>0.52900000000000003</v>
      </c>
      <c r="BE36" s="110">
        <v>39819</v>
      </c>
      <c r="BF36" s="111">
        <v>0.81599999999999995</v>
      </c>
      <c r="BG36" s="110">
        <v>10666</v>
      </c>
      <c r="BH36" s="111">
        <v>0.434</v>
      </c>
      <c r="BI36" s="110">
        <v>579</v>
      </c>
      <c r="BJ36" s="111">
        <v>0.437</v>
      </c>
      <c r="BK36" s="81">
        <v>3.7</v>
      </c>
      <c r="BL36" s="81">
        <v>4.3</v>
      </c>
      <c r="BM36" s="82">
        <f t="shared" si="12"/>
        <v>0.16216216216216206</v>
      </c>
      <c r="BN36" s="81">
        <v>5</v>
      </c>
      <c r="BO36" s="81">
        <v>5.7</v>
      </c>
      <c r="BP36" s="82">
        <f t="shared" si="13"/>
        <v>-0.12280701754385967</v>
      </c>
      <c r="BQ36" s="80">
        <v>6021</v>
      </c>
      <c r="BR36" s="112">
        <v>13</v>
      </c>
      <c r="BS36" s="76"/>
      <c r="BT36" s="112">
        <v>5200</v>
      </c>
      <c r="BU36" s="76"/>
      <c r="BV36" s="83">
        <f t="shared" si="11"/>
        <v>0.86364391297126719</v>
      </c>
      <c r="BW36" s="76"/>
      <c r="BX36" s="108">
        <v>0.42599999999999999</v>
      </c>
      <c r="BY36" s="108">
        <v>0.36699999999999999</v>
      </c>
      <c r="BZ36" s="113">
        <f t="shared" si="14"/>
        <v>0.16076294277929154</v>
      </c>
      <c r="CA36" s="108">
        <v>3.4000000000000002E-2</v>
      </c>
      <c r="CB36" s="114">
        <v>35000</v>
      </c>
      <c r="CC36" s="114">
        <v>45000</v>
      </c>
      <c r="CD36" s="114">
        <v>61903</v>
      </c>
      <c r="CE36" s="108">
        <f t="shared" si="15"/>
        <v>0.2857142857142857</v>
      </c>
      <c r="CF36" s="108">
        <f t="shared" si="16"/>
        <v>0.76865714285714282</v>
      </c>
      <c r="CG36" s="78">
        <v>2676189876</v>
      </c>
      <c r="CH36" s="115">
        <v>355822</v>
      </c>
      <c r="CI36" s="116">
        <f t="shared" si="17"/>
        <v>7521.1478660678658</v>
      </c>
      <c r="CJ36" s="78">
        <v>2270448139</v>
      </c>
      <c r="CK36" s="115">
        <v>407833</v>
      </c>
      <c r="CL36" s="116">
        <f t="shared" si="18"/>
        <v>5567.1025615877088</v>
      </c>
      <c r="CM36" s="108">
        <f t="shared" si="19"/>
        <v>0.17870557359601508</v>
      </c>
      <c r="CN36" s="108">
        <f t="shared" si="20"/>
        <v>0.35099861783808656</v>
      </c>
      <c r="CO36" s="117">
        <v>4.01</v>
      </c>
      <c r="CP36" s="82">
        <v>-0.16</v>
      </c>
      <c r="CQ36" s="118">
        <v>-0.18</v>
      </c>
    </row>
    <row r="37" spans="1:95" ht="13" x14ac:dyDescent="0.3">
      <c r="A37" s="85" t="s">
        <v>142</v>
      </c>
      <c r="B37" s="86" t="s">
        <v>143</v>
      </c>
      <c r="C37" s="86" t="s">
        <v>52</v>
      </c>
      <c r="D37" s="87"/>
      <c r="E37" s="87"/>
      <c r="F37" s="87"/>
      <c r="G37" s="86"/>
      <c r="H37" s="87" t="s">
        <v>308</v>
      </c>
      <c r="I37" s="86" t="s">
        <v>60</v>
      </c>
      <c r="J37" s="86" t="s">
        <v>60</v>
      </c>
      <c r="K37" s="86" t="s">
        <v>307</v>
      </c>
      <c r="L37" s="86" t="s">
        <v>307</v>
      </c>
      <c r="M37" s="86" t="s">
        <v>60</v>
      </c>
      <c r="N37" s="86" t="s">
        <v>60</v>
      </c>
      <c r="O37" s="88">
        <v>81518031</v>
      </c>
      <c r="P37" s="88">
        <v>17403389</v>
      </c>
      <c r="Q37" s="88">
        <v>20070933</v>
      </c>
      <c r="R37" s="88">
        <v>118992353</v>
      </c>
      <c r="S37" s="89">
        <f t="shared" si="0"/>
        <v>0.6850694934993008</v>
      </c>
      <c r="T37" s="90">
        <v>43941</v>
      </c>
      <c r="U37" s="86">
        <v>15</v>
      </c>
      <c r="V37" s="86">
        <v>10</v>
      </c>
      <c r="W37" s="86">
        <v>36048</v>
      </c>
      <c r="X37" s="86">
        <v>26521</v>
      </c>
      <c r="Y37" s="119">
        <v>0.73599999999999999</v>
      </c>
      <c r="Z37" s="86">
        <v>14</v>
      </c>
      <c r="AA37" s="86">
        <v>7</v>
      </c>
      <c r="AB37" s="86">
        <v>71869</v>
      </c>
      <c r="AC37" s="86">
        <v>14169</v>
      </c>
      <c r="AD37" s="120">
        <v>0.19700000000000001</v>
      </c>
      <c r="AE37" s="121">
        <v>-7.5399999999999995E-2</v>
      </c>
      <c r="AF37" s="121">
        <v>-0.1069</v>
      </c>
      <c r="AG37" s="121">
        <v>-0.12959999999999999</v>
      </c>
      <c r="AH37" s="121">
        <v>-0.23150000000000001</v>
      </c>
      <c r="AI37" s="121">
        <v>3.49E-2</v>
      </c>
      <c r="AJ37" s="121">
        <v>0.11700000000000001</v>
      </c>
      <c r="AK37" s="121">
        <v>-0.1012</v>
      </c>
      <c r="AL37" s="121">
        <v>-0.2737</v>
      </c>
      <c r="AM37" s="121">
        <v>-0.18779999999999999</v>
      </c>
      <c r="AN37" s="121">
        <v>-0.34389999999999998</v>
      </c>
      <c r="AO37" s="121">
        <v>-6.5500000000000003E-2</v>
      </c>
      <c r="AP37" s="121">
        <v>-0.16370000000000001</v>
      </c>
      <c r="AQ37" s="121">
        <v>0.24179999999999999</v>
      </c>
      <c r="AR37" s="121">
        <v>0.80649999999999999</v>
      </c>
      <c r="AS37" s="121">
        <v>-0.18940000000000001</v>
      </c>
      <c r="AT37" s="121">
        <v>-0.36259999999999998</v>
      </c>
      <c r="AU37" s="122">
        <v>-5219</v>
      </c>
      <c r="AV37" s="123">
        <v>-0.13</v>
      </c>
      <c r="AW37" s="122">
        <v>-5760</v>
      </c>
      <c r="AX37" s="123">
        <v>-7.4999999999999997E-2</v>
      </c>
      <c r="AY37" s="122">
        <v>8438</v>
      </c>
      <c r="AZ37" s="123">
        <v>0.27300000000000002</v>
      </c>
      <c r="BA37" s="122">
        <v>14262</v>
      </c>
      <c r="BB37" s="123">
        <v>0.54200000000000004</v>
      </c>
      <c r="BC37" s="122">
        <v>7029</v>
      </c>
      <c r="BD37" s="123">
        <v>0.57499999999999996</v>
      </c>
      <c r="BE37" s="122">
        <v>13004</v>
      </c>
      <c r="BF37" s="123">
        <v>0.76300000000000001</v>
      </c>
      <c r="BG37" s="122">
        <v>3812</v>
      </c>
      <c r="BH37" s="123">
        <v>0.371</v>
      </c>
      <c r="BI37" s="122">
        <v>1229</v>
      </c>
      <c r="BJ37" s="123">
        <v>0.66</v>
      </c>
      <c r="BK37" s="91">
        <v>3.2</v>
      </c>
      <c r="BL37" s="91">
        <v>3.3</v>
      </c>
      <c r="BM37" s="92">
        <f t="shared" si="12"/>
        <v>3.1249999999999889E-2</v>
      </c>
      <c r="BN37" s="91">
        <v>5.4</v>
      </c>
      <c r="BO37" s="91">
        <v>5.9</v>
      </c>
      <c r="BP37" s="92">
        <f t="shared" si="13"/>
        <v>-8.4745762711864403E-2</v>
      </c>
      <c r="BQ37" s="90">
        <v>2000</v>
      </c>
      <c r="BR37" s="124">
        <v>11</v>
      </c>
      <c r="BS37" s="86"/>
      <c r="BT37" s="124">
        <v>1710</v>
      </c>
      <c r="BU37" s="86"/>
      <c r="BV37" s="93">
        <f t="shared" si="11"/>
        <v>0.85499999999999998</v>
      </c>
      <c r="BW37" s="86"/>
      <c r="BX37" s="120">
        <v>0.36599999999999999</v>
      </c>
      <c r="BY37" s="120">
        <v>0.32900000000000001</v>
      </c>
      <c r="BZ37" s="125">
        <f t="shared" si="14"/>
        <v>0.11246200607902729</v>
      </c>
      <c r="CA37" s="120">
        <v>1.0999999999999999E-2</v>
      </c>
      <c r="CB37" s="126">
        <v>32000</v>
      </c>
      <c r="CC37" s="126">
        <v>42769</v>
      </c>
      <c r="CD37" s="126">
        <v>53236</v>
      </c>
      <c r="CE37" s="120">
        <f t="shared" si="15"/>
        <v>0.33653125</v>
      </c>
      <c r="CF37" s="120">
        <f t="shared" si="16"/>
        <v>0.66362500000000002</v>
      </c>
      <c r="CG37" s="88">
        <v>1051743064</v>
      </c>
      <c r="CH37" s="127">
        <v>126579</v>
      </c>
      <c r="CI37" s="128">
        <f t="shared" si="17"/>
        <v>8308.9854083220762</v>
      </c>
      <c r="CJ37" s="88">
        <v>1100191993</v>
      </c>
      <c r="CK37" s="127">
        <v>151510</v>
      </c>
      <c r="CL37" s="128">
        <f t="shared" si="18"/>
        <v>7261.5140452775395</v>
      </c>
      <c r="CM37" s="120">
        <f t="shared" si="19"/>
        <v>-4.4036794766965731E-2</v>
      </c>
      <c r="CN37" s="120">
        <f t="shared" si="20"/>
        <v>0.14424971934410158</v>
      </c>
      <c r="CO37" s="129">
        <v>4.58</v>
      </c>
      <c r="CP37" s="92">
        <v>-0.22800000000000001</v>
      </c>
      <c r="CQ37" s="130">
        <v>-0.36899999999999999</v>
      </c>
    </row>
    <row r="38" spans="1:95" ht="13" x14ac:dyDescent="0.3">
      <c r="A38" s="75" t="s">
        <v>144</v>
      </c>
      <c r="B38" s="76" t="s">
        <v>145</v>
      </c>
      <c r="C38" s="76" t="s">
        <v>52</v>
      </c>
      <c r="D38" s="95">
        <v>45985</v>
      </c>
      <c r="E38" s="77" t="s">
        <v>80</v>
      </c>
      <c r="F38" s="77" t="s">
        <v>332</v>
      </c>
      <c r="G38" s="76"/>
      <c r="H38" s="77" t="s">
        <v>308</v>
      </c>
      <c r="I38" s="76" t="s">
        <v>53</v>
      </c>
      <c r="J38" s="76" t="s">
        <v>60</v>
      </c>
      <c r="K38" s="76" t="s">
        <v>311</v>
      </c>
      <c r="L38" s="76" t="s">
        <v>311</v>
      </c>
      <c r="M38" s="76" t="s">
        <v>60</v>
      </c>
      <c r="N38" s="76" t="s">
        <v>60</v>
      </c>
      <c r="O38" s="78">
        <v>121564769</v>
      </c>
      <c r="P38" s="78">
        <v>10271460</v>
      </c>
      <c r="Q38" s="78">
        <v>125683658</v>
      </c>
      <c r="R38" s="78">
        <v>257519887</v>
      </c>
      <c r="S38" s="79">
        <f t="shared" si="0"/>
        <v>0.47205973261397088</v>
      </c>
      <c r="T38" s="80">
        <v>39149</v>
      </c>
      <c r="U38" s="76">
        <v>17</v>
      </c>
      <c r="V38" s="76">
        <v>16</v>
      </c>
      <c r="W38" s="76">
        <v>44384</v>
      </c>
      <c r="X38" s="76">
        <v>43260</v>
      </c>
      <c r="Y38" s="131">
        <v>0.97499999999999998</v>
      </c>
      <c r="Z38" s="76">
        <v>9</v>
      </c>
      <c r="AA38" s="76">
        <v>0</v>
      </c>
      <c r="AB38" s="76">
        <v>66864</v>
      </c>
      <c r="AC38" s="76">
        <v>0</v>
      </c>
      <c r="AD38" s="108">
        <v>0</v>
      </c>
      <c r="AE38" s="109">
        <v>-5.11E-2</v>
      </c>
      <c r="AF38" s="109">
        <v>-8.9099999999999999E-2</v>
      </c>
      <c r="AG38" s="109">
        <v>1.46E-2</v>
      </c>
      <c r="AH38" s="109">
        <v>1.61E-2</v>
      </c>
      <c r="AI38" s="109">
        <v>2.01E-2</v>
      </c>
      <c r="AJ38" s="109">
        <v>8.9300000000000004E-2</v>
      </c>
      <c r="AK38" s="109">
        <v>-2.8299999999999999E-2</v>
      </c>
      <c r="AL38" s="109">
        <v>0.1072</v>
      </c>
      <c r="AM38" s="109">
        <v>-0.28299999999999997</v>
      </c>
      <c r="AN38" s="109">
        <v>-0.43469999999999998</v>
      </c>
      <c r="AO38" s="109">
        <v>-0.21870000000000001</v>
      </c>
      <c r="AP38" s="109">
        <v>-0.28560000000000002</v>
      </c>
      <c r="AQ38" s="109">
        <v>5.67E-2</v>
      </c>
      <c r="AR38" s="109">
        <v>0.3135</v>
      </c>
      <c r="AS38" s="109">
        <v>0.1069</v>
      </c>
      <c r="AT38" s="109">
        <v>-8.3699999999999997E-2</v>
      </c>
      <c r="AU38" s="110">
        <v>-14105</v>
      </c>
      <c r="AV38" s="111">
        <v>-0.24399999999999999</v>
      </c>
      <c r="AW38" s="110">
        <v>-4953</v>
      </c>
      <c r="AX38" s="111">
        <v>-6.9000000000000006E-2</v>
      </c>
      <c r="AY38" s="110">
        <v>9555</v>
      </c>
      <c r="AZ38" s="111">
        <v>0.217</v>
      </c>
      <c r="BA38" s="110">
        <v>11266</v>
      </c>
      <c r="BB38" s="111">
        <v>0.63800000000000001</v>
      </c>
      <c r="BC38" s="110">
        <v>8611</v>
      </c>
      <c r="BD38" s="111">
        <v>0.55400000000000005</v>
      </c>
      <c r="BE38" s="110">
        <v>11052</v>
      </c>
      <c r="BF38" s="111">
        <v>0.81299999999999994</v>
      </c>
      <c r="BG38" s="110">
        <v>6004</v>
      </c>
      <c r="BH38" s="111">
        <v>0.375</v>
      </c>
      <c r="BI38" s="110">
        <v>742</v>
      </c>
      <c r="BJ38" s="111">
        <v>0.61299999999999999</v>
      </c>
      <c r="BK38" s="81">
        <v>3.8</v>
      </c>
      <c r="BL38" s="81">
        <v>4.2</v>
      </c>
      <c r="BM38" s="82">
        <f t="shared" si="12"/>
        <v>0.10526315789473695</v>
      </c>
      <c r="BN38" s="81">
        <v>4.5</v>
      </c>
      <c r="BO38" s="81">
        <v>5</v>
      </c>
      <c r="BP38" s="82">
        <f t="shared" si="13"/>
        <v>-0.1</v>
      </c>
      <c r="BQ38" s="80">
        <v>2231</v>
      </c>
      <c r="BR38" s="112">
        <v>11</v>
      </c>
      <c r="BS38" s="76"/>
      <c r="BT38" s="112">
        <v>1770</v>
      </c>
      <c r="BU38" s="76"/>
      <c r="BV38" s="83">
        <f t="shared" si="11"/>
        <v>0.79336620349619003</v>
      </c>
      <c r="BW38" s="76"/>
      <c r="BX38" s="108">
        <v>0.46400000000000002</v>
      </c>
      <c r="BY38" s="108">
        <v>0.39700000000000002</v>
      </c>
      <c r="BZ38" s="113">
        <f t="shared" si="14"/>
        <v>0.16876574307304787</v>
      </c>
      <c r="CA38" s="108">
        <v>1.7999999999999999E-2</v>
      </c>
      <c r="CB38" s="114">
        <v>35397</v>
      </c>
      <c r="CC38" s="114">
        <v>46000</v>
      </c>
      <c r="CD38" s="114">
        <v>63028</v>
      </c>
      <c r="CE38" s="108">
        <f t="shared" si="15"/>
        <v>0.29954515919428198</v>
      </c>
      <c r="CF38" s="108">
        <f t="shared" si="16"/>
        <v>0.78060287594993927</v>
      </c>
      <c r="CG38" s="78">
        <v>1375461916</v>
      </c>
      <c r="CH38" s="115">
        <v>124645</v>
      </c>
      <c r="CI38" s="116">
        <f t="shared" si="17"/>
        <v>11035.034826908421</v>
      </c>
      <c r="CJ38" s="78">
        <v>834337790</v>
      </c>
      <c r="CK38" s="115">
        <v>156327</v>
      </c>
      <c r="CL38" s="116">
        <f t="shared" si="18"/>
        <v>5337.1317174896212</v>
      </c>
      <c r="CM38" s="108">
        <f t="shared" si="19"/>
        <v>0.64856720202017937</v>
      </c>
      <c r="CN38" s="108">
        <f t="shared" si="20"/>
        <v>1.0675964939645279</v>
      </c>
      <c r="CO38" s="117">
        <v>5.13</v>
      </c>
      <c r="CP38" s="82">
        <v>-3.5999999999999997E-2</v>
      </c>
      <c r="CQ38" s="118">
        <v>-2.9000000000000001E-2</v>
      </c>
    </row>
    <row r="39" spans="1:95" ht="13" x14ac:dyDescent="0.3">
      <c r="A39" s="85" t="s">
        <v>146</v>
      </c>
      <c r="B39" s="86" t="s">
        <v>147</v>
      </c>
      <c r="C39" s="86" t="s">
        <v>64</v>
      </c>
      <c r="D39" s="87"/>
      <c r="E39" s="87"/>
      <c r="F39" s="87"/>
      <c r="G39" s="86"/>
      <c r="H39" s="87" t="s">
        <v>310</v>
      </c>
      <c r="I39" s="86" t="s">
        <v>53</v>
      </c>
      <c r="J39" s="86" t="s">
        <v>53</v>
      </c>
      <c r="K39" s="86" t="s">
        <v>311</v>
      </c>
      <c r="L39" s="86" t="s">
        <v>324</v>
      </c>
      <c r="M39" s="86" t="s">
        <v>53</v>
      </c>
      <c r="N39" s="86" t="s">
        <v>60</v>
      </c>
      <c r="O39" s="88">
        <v>390832918</v>
      </c>
      <c r="P39" s="88">
        <v>5954842</v>
      </c>
      <c r="Q39" s="88">
        <v>48067762</v>
      </c>
      <c r="R39" s="88">
        <v>444855522</v>
      </c>
      <c r="S39" s="89">
        <f t="shared" si="0"/>
        <v>0.87856146247859768</v>
      </c>
      <c r="T39" s="90">
        <v>125585</v>
      </c>
      <c r="U39" s="86">
        <v>20</v>
      </c>
      <c r="V39" s="86">
        <v>14</v>
      </c>
      <c r="W39" s="86">
        <v>67837</v>
      </c>
      <c r="X39" s="86">
        <v>60986</v>
      </c>
      <c r="Y39" s="119">
        <v>0.89900000000000002</v>
      </c>
      <c r="Z39" s="86">
        <v>37</v>
      </c>
      <c r="AA39" s="86">
        <v>20</v>
      </c>
      <c r="AB39" s="86">
        <v>192977</v>
      </c>
      <c r="AC39" s="86">
        <v>26734</v>
      </c>
      <c r="AD39" s="120">
        <v>0.13900000000000001</v>
      </c>
      <c r="AE39" s="121">
        <v>-8.4699999999999998E-2</v>
      </c>
      <c r="AF39" s="121">
        <v>-0.1023</v>
      </c>
      <c r="AG39" s="121">
        <v>0.1125</v>
      </c>
      <c r="AH39" s="121">
        <v>9.2700000000000005E-2</v>
      </c>
      <c r="AI39" s="121">
        <v>2.5700000000000001E-2</v>
      </c>
      <c r="AJ39" s="121">
        <v>-6.9400000000000003E-2</v>
      </c>
      <c r="AK39" s="121">
        <v>-9.0399999999999994E-2</v>
      </c>
      <c r="AL39" s="121">
        <v>-0.19620000000000001</v>
      </c>
      <c r="AM39" s="121">
        <v>-0.2787</v>
      </c>
      <c r="AN39" s="121">
        <v>-0.40200000000000002</v>
      </c>
      <c r="AO39" s="121">
        <v>-0.20469999999999999</v>
      </c>
      <c r="AP39" s="121">
        <v>-0.28370000000000001</v>
      </c>
      <c r="AQ39" s="121">
        <v>0.1769</v>
      </c>
      <c r="AR39" s="121">
        <v>0.61509999999999998</v>
      </c>
      <c r="AS39" s="121">
        <v>-4.8000000000000001E-2</v>
      </c>
      <c r="AT39" s="121">
        <v>-0.14119999999999999</v>
      </c>
      <c r="AU39" s="122">
        <v>-19824</v>
      </c>
      <c r="AV39" s="123">
        <v>-0.23400000000000001</v>
      </c>
      <c r="AW39" s="122">
        <v>-16810</v>
      </c>
      <c r="AX39" s="123">
        <v>-0.09</v>
      </c>
      <c r="AY39" s="122">
        <v>12972</v>
      </c>
      <c r="AZ39" s="123">
        <v>0.255</v>
      </c>
      <c r="BA39" s="122">
        <v>44216</v>
      </c>
      <c r="BB39" s="123">
        <v>0.60699999999999998</v>
      </c>
      <c r="BC39" s="122">
        <v>11677</v>
      </c>
      <c r="BD39" s="123">
        <v>0.60899999999999999</v>
      </c>
      <c r="BE39" s="122">
        <v>41206</v>
      </c>
      <c r="BF39" s="123">
        <v>0.82099999999999995</v>
      </c>
      <c r="BG39" s="122">
        <v>9052</v>
      </c>
      <c r="BH39" s="123">
        <v>0.42</v>
      </c>
      <c r="BI39" s="122">
        <v>444</v>
      </c>
      <c r="BJ39" s="123">
        <v>0.49199999999999999</v>
      </c>
      <c r="BK39" s="91">
        <v>3.7</v>
      </c>
      <c r="BL39" s="91">
        <v>3.6</v>
      </c>
      <c r="BM39" s="92">
        <f t="shared" si="12"/>
        <v>-2.7027027027027049E-2</v>
      </c>
      <c r="BN39" s="91">
        <v>4.3</v>
      </c>
      <c r="BO39" s="91">
        <v>5.5</v>
      </c>
      <c r="BP39" s="92">
        <f t="shared" si="13"/>
        <v>-0.21818181818181823</v>
      </c>
      <c r="BQ39" s="90">
        <v>6679</v>
      </c>
      <c r="BR39" s="124">
        <v>14</v>
      </c>
      <c r="BS39" s="86"/>
      <c r="BT39" s="124">
        <v>6730</v>
      </c>
      <c r="BU39" s="86"/>
      <c r="BV39" s="93">
        <f t="shared" si="11"/>
        <v>1.0076358736337776</v>
      </c>
      <c r="BW39" s="86"/>
      <c r="BX39" s="120">
        <v>0.46899999999999997</v>
      </c>
      <c r="BY39" s="120">
        <v>0.39800000000000002</v>
      </c>
      <c r="BZ39" s="125">
        <f t="shared" si="14"/>
        <v>0.17839195979899483</v>
      </c>
      <c r="CA39" s="120">
        <v>2.8000000000000001E-2</v>
      </c>
      <c r="CB39" s="126">
        <v>35397</v>
      </c>
      <c r="CC39" s="126">
        <v>46015</v>
      </c>
      <c r="CD39" s="126">
        <v>63000</v>
      </c>
      <c r="CE39" s="120">
        <f t="shared" si="15"/>
        <v>0.29996892392010621</v>
      </c>
      <c r="CF39" s="120">
        <f t="shared" si="16"/>
        <v>0.77981184846173401</v>
      </c>
      <c r="CG39" s="88">
        <v>2197943952</v>
      </c>
      <c r="CH39" s="127">
        <v>293801</v>
      </c>
      <c r="CI39" s="128">
        <f t="shared" si="17"/>
        <v>7481.0635498177335</v>
      </c>
      <c r="CJ39" s="88">
        <v>1756318893</v>
      </c>
      <c r="CK39" s="127">
        <v>360812</v>
      </c>
      <c r="CL39" s="128">
        <f t="shared" si="18"/>
        <v>4867.6842593927031</v>
      </c>
      <c r="CM39" s="120">
        <f t="shared" si="19"/>
        <v>0.25144924464466262</v>
      </c>
      <c r="CN39" s="120">
        <f t="shared" si="20"/>
        <v>0.53688348527993435</v>
      </c>
      <c r="CO39" s="129">
        <v>2.41</v>
      </c>
      <c r="CP39" s="92">
        <v>-0.13600000000000001</v>
      </c>
      <c r="CQ39" s="130">
        <v>-0.223</v>
      </c>
    </row>
    <row r="40" spans="1:95" ht="13" x14ac:dyDescent="0.3">
      <c r="A40" s="75" t="s">
        <v>148</v>
      </c>
      <c r="B40" s="76" t="s">
        <v>149</v>
      </c>
      <c r="C40" s="76" t="s">
        <v>52</v>
      </c>
      <c r="D40" s="77"/>
      <c r="E40" s="77"/>
      <c r="F40" s="77"/>
      <c r="G40" s="76"/>
      <c r="H40" s="77" t="s">
        <v>313</v>
      </c>
      <c r="I40" s="76" t="s">
        <v>53</v>
      </c>
      <c r="J40" s="76" t="s">
        <v>53</v>
      </c>
      <c r="K40" s="76" t="s">
        <v>311</v>
      </c>
      <c r="L40" s="76" t="s">
        <v>311</v>
      </c>
      <c r="M40" s="76" t="s">
        <v>60</v>
      </c>
      <c r="N40" s="76" t="s">
        <v>60</v>
      </c>
      <c r="O40" s="78">
        <v>9438481</v>
      </c>
      <c r="P40" s="78"/>
      <c r="Q40" s="78"/>
      <c r="R40" s="78">
        <v>9438481</v>
      </c>
      <c r="S40" s="79">
        <f t="shared" si="0"/>
        <v>1</v>
      </c>
      <c r="T40" s="80">
        <v>9638</v>
      </c>
      <c r="U40" s="76">
        <v>1</v>
      </c>
      <c r="V40" s="76">
        <v>1</v>
      </c>
      <c r="W40" s="76">
        <v>8381</v>
      </c>
      <c r="X40" s="76">
        <v>8381</v>
      </c>
      <c r="Y40" s="131">
        <v>1</v>
      </c>
      <c r="Z40" s="76">
        <v>2</v>
      </c>
      <c r="AA40" s="76">
        <v>0</v>
      </c>
      <c r="AB40" s="76">
        <v>18623</v>
      </c>
      <c r="AC40" s="76">
        <v>0</v>
      </c>
      <c r="AD40" s="108">
        <v>0</v>
      </c>
      <c r="AE40" s="109">
        <v>-5.4399999999999997E-2</v>
      </c>
      <c r="AF40" s="109">
        <v>-4.5699999999999998E-2</v>
      </c>
      <c r="AG40" s="109">
        <v>-0.26279999999999998</v>
      </c>
      <c r="AH40" s="109">
        <v>-0.1676</v>
      </c>
      <c r="AI40" s="109">
        <v>1.38E-2</v>
      </c>
      <c r="AJ40" s="109">
        <v>0.1812</v>
      </c>
      <c r="AK40" s="134"/>
      <c r="AL40" s="134"/>
      <c r="AM40" s="109">
        <v>-0.1376</v>
      </c>
      <c r="AN40" s="109">
        <v>-9.0700000000000003E-2</v>
      </c>
      <c r="AO40" s="109">
        <v>-0.16900000000000001</v>
      </c>
      <c r="AP40" s="109">
        <v>-0.4037</v>
      </c>
      <c r="AQ40" s="109">
        <v>0.2321</v>
      </c>
      <c r="AR40" s="109">
        <v>1.113</v>
      </c>
      <c r="AS40" s="109">
        <v>-0.34810000000000002</v>
      </c>
      <c r="AT40" s="109">
        <v>-0.43609999999999999</v>
      </c>
      <c r="AU40" s="110">
        <v>-1138</v>
      </c>
      <c r="AV40" s="111">
        <v>-0.122</v>
      </c>
      <c r="AW40" s="110">
        <v>-1104</v>
      </c>
      <c r="AX40" s="111">
        <v>-5.6000000000000001E-2</v>
      </c>
      <c r="AY40" s="110">
        <v>2641</v>
      </c>
      <c r="AZ40" s="111">
        <v>0.249</v>
      </c>
      <c r="BA40" s="110">
        <v>4213</v>
      </c>
      <c r="BB40" s="111">
        <v>0.63800000000000001</v>
      </c>
      <c r="BC40" s="110">
        <v>2482</v>
      </c>
      <c r="BD40" s="111">
        <v>0.56200000000000006</v>
      </c>
      <c r="BE40" s="110">
        <v>3913</v>
      </c>
      <c r="BF40" s="111">
        <v>0.82899999999999996</v>
      </c>
      <c r="BG40" s="110">
        <v>805</v>
      </c>
      <c r="BH40" s="111">
        <v>0.36699999999999999</v>
      </c>
      <c r="BI40" s="110">
        <v>51</v>
      </c>
      <c r="BJ40" s="111">
        <v>0.5</v>
      </c>
      <c r="BK40" s="81">
        <v>3</v>
      </c>
      <c r="BL40" s="81">
        <v>4.3</v>
      </c>
      <c r="BM40" s="82">
        <f t="shared" si="12"/>
        <v>0.43333333333333329</v>
      </c>
      <c r="BN40" s="81">
        <v>5</v>
      </c>
      <c r="BO40" s="81">
        <v>5.7</v>
      </c>
      <c r="BP40" s="82">
        <f t="shared" si="13"/>
        <v>-0.12280701754385967</v>
      </c>
      <c r="BQ40" s="76">
        <v>576</v>
      </c>
      <c r="BR40" s="112">
        <v>8</v>
      </c>
      <c r="BS40" s="76"/>
      <c r="BT40" s="112">
        <v>520</v>
      </c>
      <c r="BU40" s="76"/>
      <c r="BV40" s="83">
        <f t="shared" si="11"/>
        <v>0.90277777777777779</v>
      </c>
      <c r="BW40" s="76"/>
      <c r="BX40" s="108">
        <v>0.47199999999999998</v>
      </c>
      <c r="BY40" s="108">
        <v>0.42299999999999999</v>
      </c>
      <c r="BZ40" s="113">
        <f t="shared" si="14"/>
        <v>0.11583924349881794</v>
      </c>
      <c r="CA40" s="108">
        <v>3.0000000000000001E-3</v>
      </c>
      <c r="CB40" s="114">
        <v>38042</v>
      </c>
      <c r="CC40" s="114">
        <v>50000</v>
      </c>
      <c r="CD40" s="114">
        <v>64558</v>
      </c>
      <c r="CE40" s="108">
        <f t="shared" si="15"/>
        <v>0.31433678565795697</v>
      </c>
      <c r="CF40" s="108">
        <f t="shared" si="16"/>
        <v>0.6970190841701277</v>
      </c>
      <c r="CG40" s="78">
        <v>229117084</v>
      </c>
      <c r="CH40" s="115">
        <v>28491</v>
      </c>
      <c r="CI40" s="116">
        <f t="shared" si="17"/>
        <v>8041.7354252220002</v>
      </c>
      <c r="CJ40" s="78">
        <v>167567862</v>
      </c>
      <c r="CK40" s="115">
        <v>32781</v>
      </c>
      <c r="CL40" s="116">
        <f t="shared" si="18"/>
        <v>5111.7373478539394</v>
      </c>
      <c r="CM40" s="108">
        <f t="shared" si="19"/>
        <v>0.36730922782794712</v>
      </c>
      <c r="CN40" s="108">
        <f t="shared" si="20"/>
        <v>0.5731902635017353</v>
      </c>
      <c r="CO40" s="117">
        <v>3.21</v>
      </c>
      <c r="CP40" s="82">
        <v>-0.112</v>
      </c>
      <c r="CQ40" s="118">
        <v>-7.0000000000000007E-2</v>
      </c>
    </row>
    <row r="41" spans="1:95" ht="13" x14ac:dyDescent="0.3">
      <c r="A41" s="85" t="s">
        <v>150</v>
      </c>
      <c r="B41" s="86" t="s">
        <v>151</v>
      </c>
      <c r="C41" s="86" t="s">
        <v>52</v>
      </c>
      <c r="D41" s="94">
        <v>45924</v>
      </c>
      <c r="E41" s="87" t="s">
        <v>152</v>
      </c>
      <c r="F41" s="87" t="s">
        <v>333</v>
      </c>
      <c r="G41" s="86"/>
      <c r="H41" s="87" t="s">
        <v>308</v>
      </c>
      <c r="I41" s="86" t="s">
        <v>60</v>
      </c>
      <c r="J41" s="86" t="s">
        <v>53</v>
      </c>
      <c r="K41" s="86" t="s">
        <v>307</v>
      </c>
      <c r="L41" s="86" t="s">
        <v>307</v>
      </c>
      <c r="M41" s="86" t="s">
        <v>60</v>
      </c>
      <c r="N41" s="86" t="s">
        <v>60</v>
      </c>
      <c r="O41" s="88">
        <v>130405086</v>
      </c>
      <c r="P41" s="88">
        <v>350255011</v>
      </c>
      <c r="Q41" s="88">
        <v>4043331</v>
      </c>
      <c r="R41" s="88">
        <v>484703428</v>
      </c>
      <c r="S41" s="89">
        <v>0.27</v>
      </c>
      <c r="T41" s="90">
        <v>50247</v>
      </c>
      <c r="U41" s="86">
        <v>20</v>
      </c>
      <c r="V41" s="86">
        <v>18</v>
      </c>
      <c r="W41" s="86">
        <v>55749</v>
      </c>
      <c r="X41" s="86">
        <v>43853</v>
      </c>
      <c r="Y41" s="119">
        <v>0.78700000000000003</v>
      </c>
      <c r="Z41" s="86">
        <v>13</v>
      </c>
      <c r="AA41" s="86">
        <v>1</v>
      </c>
      <c r="AB41" s="86">
        <v>93221</v>
      </c>
      <c r="AC41" s="86">
        <v>1994</v>
      </c>
      <c r="AD41" s="120">
        <v>2.1000000000000001E-2</v>
      </c>
      <c r="AE41" s="121">
        <v>8.6999999999999994E-3</v>
      </c>
      <c r="AF41" s="121">
        <v>9.5100000000000004E-2</v>
      </c>
      <c r="AG41" s="121">
        <v>2.6100000000000002E-2</v>
      </c>
      <c r="AH41" s="121">
        <v>-7.6E-3</v>
      </c>
      <c r="AI41" s="121">
        <v>2.0799999999999999E-2</v>
      </c>
      <c r="AJ41" s="121">
        <v>8.7099999999999997E-2</v>
      </c>
      <c r="AK41" s="121">
        <v>3.5999999999999999E-3</v>
      </c>
      <c r="AL41" s="121">
        <v>0.13650000000000001</v>
      </c>
      <c r="AM41" s="121">
        <v>-8.8300000000000003E-2</v>
      </c>
      <c r="AN41" s="121">
        <v>-0.30330000000000001</v>
      </c>
      <c r="AO41" s="121">
        <v>0.1028</v>
      </c>
      <c r="AP41" s="121">
        <v>-6.9500000000000006E-2</v>
      </c>
      <c r="AQ41" s="121">
        <v>0.43790000000000001</v>
      </c>
      <c r="AR41" s="121">
        <v>1.2583</v>
      </c>
      <c r="AS41" s="121">
        <v>-0.1019</v>
      </c>
      <c r="AT41" s="121">
        <v>8.4099999999999994E-2</v>
      </c>
      <c r="AU41" s="122">
        <v>762</v>
      </c>
      <c r="AV41" s="123">
        <v>1.2999999999999999E-2</v>
      </c>
      <c r="AW41" s="122">
        <v>1126</v>
      </c>
      <c r="AX41" s="123">
        <v>1.2E-2</v>
      </c>
      <c r="AY41" s="122">
        <v>11990</v>
      </c>
      <c r="AZ41" s="123">
        <v>0.25</v>
      </c>
      <c r="BA41" s="122">
        <v>18965</v>
      </c>
      <c r="BB41" s="123">
        <v>0.66100000000000003</v>
      </c>
      <c r="BC41" s="122">
        <v>9825</v>
      </c>
      <c r="BD41" s="123">
        <v>0.51500000000000001</v>
      </c>
      <c r="BE41" s="122">
        <v>20027</v>
      </c>
      <c r="BF41" s="123">
        <v>0.81599999999999995</v>
      </c>
      <c r="BG41" s="122">
        <v>3582</v>
      </c>
      <c r="BH41" s="123">
        <v>0.34499999999999997</v>
      </c>
      <c r="BI41" s="122">
        <v>111</v>
      </c>
      <c r="BJ41" s="123">
        <v>0.247</v>
      </c>
      <c r="BK41" s="91">
        <v>3</v>
      </c>
      <c r="BL41" s="91">
        <v>4.0999999999999996</v>
      </c>
      <c r="BM41" s="92">
        <f t="shared" si="12"/>
        <v>0.36666666666666653</v>
      </c>
      <c r="BN41" s="91">
        <v>5.7</v>
      </c>
      <c r="BO41" s="91">
        <v>6.4</v>
      </c>
      <c r="BP41" s="92">
        <f t="shared" si="13"/>
        <v>-0.10937500000000003</v>
      </c>
      <c r="BQ41" s="90">
        <v>2649</v>
      </c>
      <c r="BR41" s="124">
        <v>12</v>
      </c>
      <c r="BS41" s="86"/>
      <c r="BT41" s="124">
        <v>2890</v>
      </c>
      <c r="BU41" s="86"/>
      <c r="BV41" s="93">
        <f t="shared" si="11"/>
        <v>1.0909777274443186</v>
      </c>
      <c r="BW41" s="86"/>
      <c r="BX41" s="120">
        <v>0.42799999999999999</v>
      </c>
      <c r="BY41" s="120">
        <v>0.35599999999999998</v>
      </c>
      <c r="BZ41" s="125">
        <f t="shared" si="14"/>
        <v>0.20224719101123598</v>
      </c>
      <c r="CA41" s="120">
        <v>1.2E-2</v>
      </c>
      <c r="CB41" s="126">
        <v>33037</v>
      </c>
      <c r="CC41" s="126">
        <v>43941</v>
      </c>
      <c r="CD41" s="126">
        <v>57000</v>
      </c>
      <c r="CE41" s="120">
        <f t="shared" si="15"/>
        <v>0.33005418167509154</v>
      </c>
      <c r="CF41" s="120">
        <f t="shared" si="16"/>
        <v>0.72533825710566935</v>
      </c>
      <c r="CG41" s="88">
        <v>1590891995</v>
      </c>
      <c r="CH41" s="127">
        <v>173961</v>
      </c>
      <c r="CI41" s="128">
        <f t="shared" si="17"/>
        <v>9145.1072079374117</v>
      </c>
      <c r="CJ41" s="88">
        <v>974626116</v>
      </c>
      <c r="CK41" s="127">
        <v>178225</v>
      </c>
      <c r="CL41" s="128">
        <f t="shared" si="18"/>
        <v>5468.5151690279145</v>
      </c>
      <c r="CM41" s="120">
        <f t="shared" si="19"/>
        <v>0.63231004062279816</v>
      </c>
      <c r="CN41" s="120">
        <f t="shared" si="20"/>
        <v>0.67231998545650007</v>
      </c>
      <c r="CO41" s="129">
        <v>5.34</v>
      </c>
      <c r="CP41" s="92">
        <v>-0.09</v>
      </c>
      <c r="CQ41" s="130">
        <v>-7.0999999999999994E-2</v>
      </c>
    </row>
    <row r="42" spans="1:95" ht="13" x14ac:dyDescent="0.3">
      <c r="A42" s="75" t="s">
        <v>153</v>
      </c>
      <c r="B42" s="76" t="s">
        <v>154</v>
      </c>
      <c r="C42" s="76" t="s">
        <v>52</v>
      </c>
      <c r="D42" s="77"/>
      <c r="E42" s="77"/>
      <c r="F42" s="77"/>
      <c r="G42" s="76"/>
      <c r="H42" s="77" t="s">
        <v>313</v>
      </c>
      <c r="I42" s="76" t="s">
        <v>53</v>
      </c>
      <c r="J42" s="76" t="s">
        <v>53</v>
      </c>
      <c r="K42" s="76" t="s">
        <v>307</v>
      </c>
      <c r="L42" s="76" t="s">
        <v>307</v>
      </c>
      <c r="M42" s="76" t="s">
        <v>53</v>
      </c>
      <c r="N42" s="76" t="s">
        <v>60</v>
      </c>
      <c r="O42" s="78">
        <v>212666</v>
      </c>
      <c r="P42" s="78">
        <v>5529450</v>
      </c>
      <c r="Q42" s="78"/>
      <c r="R42" s="78">
        <v>5742116</v>
      </c>
      <c r="S42" s="79">
        <f t="shared" ref="S42:S51" si="21">O42/R42</f>
        <v>3.7036172727963002E-2</v>
      </c>
      <c r="T42" s="80">
        <v>8661</v>
      </c>
      <c r="U42" s="76">
        <v>4</v>
      </c>
      <c r="V42" s="76">
        <v>0</v>
      </c>
      <c r="W42" s="76">
        <v>5861</v>
      </c>
      <c r="X42" s="76">
        <v>0</v>
      </c>
      <c r="Y42" s="131">
        <v>0</v>
      </c>
      <c r="Z42" s="76">
        <v>9</v>
      </c>
      <c r="AA42" s="76">
        <v>2</v>
      </c>
      <c r="AB42" s="76">
        <v>22656</v>
      </c>
      <c r="AC42" s="76">
        <v>896</v>
      </c>
      <c r="AD42" s="108">
        <v>0.04</v>
      </c>
      <c r="AE42" s="109">
        <v>-0.1042</v>
      </c>
      <c r="AF42" s="109">
        <v>-0.14399999999999999</v>
      </c>
      <c r="AG42" s="109">
        <v>-8.6999999999999994E-3</v>
      </c>
      <c r="AH42" s="109">
        <v>1.06E-2</v>
      </c>
      <c r="AI42" s="109">
        <v>6.4600000000000005E-2</v>
      </c>
      <c r="AJ42" s="109">
        <v>9.1999999999999998E-2</v>
      </c>
      <c r="AK42" s="109">
        <v>-0.11799999999999999</v>
      </c>
      <c r="AL42" s="109">
        <v>-0.3115</v>
      </c>
      <c r="AM42" s="109">
        <v>-4.1300000000000003E-2</v>
      </c>
      <c r="AN42" s="109">
        <v>-0.11700000000000001</v>
      </c>
      <c r="AO42" s="109">
        <v>0.29420000000000002</v>
      </c>
      <c r="AP42" s="109">
        <v>0.97460000000000002</v>
      </c>
      <c r="AQ42" s="109">
        <v>-8.8200000000000001E-2</v>
      </c>
      <c r="AR42" s="109">
        <v>6.7900000000000002E-2</v>
      </c>
      <c r="AS42" s="109">
        <v>0.19070000000000001</v>
      </c>
      <c r="AT42" s="109">
        <v>0.54700000000000004</v>
      </c>
      <c r="AU42" s="110">
        <v>7</v>
      </c>
      <c r="AV42" s="111">
        <v>1E-3</v>
      </c>
      <c r="AW42" s="110">
        <v>-2238</v>
      </c>
      <c r="AX42" s="111">
        <v>-9.0999999999999998E-2</v>
      </c>
      <c r="AY42" s="110">
        <v>1588</v>
      </c>
      <c r="AZ42" s="111">
        <v>0.63900000000000001</v>
      </c>
      <c r="BA42" s="110">
        <v>4903</v>
      </c>
      <c r="BB42" s="111">
        <v>0.56100000000000005</v>
      </c>
      <c r="BC42" s="110">
        <v>1705</v>
      </c>
      <c r="BD42" s="111">
        <v>0.754</v>
      </c>
      <c r="BE42" s="110">
        <v>4721</v>
      </c>
      <c r="BF42" s="111">
        <v>0.77</v>
      </c>
      <c r="BG42" s="110">
        <v>256</v>
      </c>
      <c r="BH42" s="111">
        <v>0.621</v>
      </c>
      <c r="BI42" s="110">
        <v>184</v>
      </c>
      <c r="BJ42" s="111">
        <v>0.44700000000000001</v>
      </c>
      <c r="BK42" s="81">
        <v>1.8</v>
      </c>
      <c r="BL42" s="81">
        <v>1.8</v>
      </c>
      <c r="BM42" s="82">
        <f t="shared" si="12"/>
        <v>0</v>
      </c>
      <c r="BN42" s="81">
        <v>4.9000000000000004</v>
      </c>
      <c r="BO42" s="81">
        <v>6</v>
      </c>
      <c r="BP42" s="82">
        <f t="shared" si="13"/>
        <v>-0.18333333333333326</v>
      </c>
      <c r="BQ42" s="76">
        <v>438</v>
      </c>
      <c r="BR42" s="112">
        <v>11</v>
      </c>
      <c r="BS42" s="76"/>
      <c r="BT42" s="112">
        <v>510</v>
      </c>
      <c r="BU42" s="76"/>
      <c r="BV42" s="83">
        <f t="shared" si="11"/>
        <v>1.1643835616438356</v>
      </c>
      <c r="BW42" s="76"/>
      <c r="BX42" s="108">
        <v>0.46800000000000003</v>
      </c>
      <c r="BY42" s="108">
        <v>0.41099999999999998</v>
      </c>
      <c r="BZ42" s="113">
        <f t="shared" si="14"/>
        <v>0.13868613138686145</v>
      </c>
      <c r="CA42" s="108">
        <v>2E-3</v>
      </c>
      <c r="CB42" s="114">
        <v>36500</v>
      </c>
      <c r="CC42" s="114">
        <v>46500</v>
      </c>
      <c r="CD42" s="114">
        <v>55000</v>
      </c>
      <c r="CE42" s="108">
        <f t="shared" si="15"/>
        <v>0.27397260273972601</v>
      </c>
      <c r="CF42" s="108">
        <f t="shared" si="16"/>
        <v>0.50684931506849318</v>
      </c>
      <c r="CG42" s="78">
        <v>319955552</v>
      </c>
      <c r="CH42" s="115">
        <v>31239</v>
      </c>
      <c r="CI42" s="116">
        <f t="shared" si="17"/>
        <v>10242.18291238516</v>
      </c>
      <c r="CJ42" s="78">
        <v>207837626</v>
      </c>
      <c r="CK42" s="115">
        <v>34080</v>
      </c>
      <c r="CL42" s="116">
        <f t="shared" si="18"/>
        <v>6098.5218896713614</v>
      </c>
      <c r="CM42" s="108">
        <f t="shared" si="19"/>
        <v>0.53944960860936697</v>
      </c>
      <c r="CN42" s="108">
        <f t="shared" si="20"/>
        <v>0.67945333273815522</v>
      </c>
      <c r="CO42" s="117">
        <v>4.62</v>
      </c>
      <c r="CP42" s="82">
        <v>-0.2</v>
      </c>
      <c r="CQ42" s="118">
        <v>-7.1999999999999995E-2</v>
      </c>
    </row>
    <row r="43" spans="1:95" ht="13" x14ac:dyDescent="0.3">
      <c r="A43" s="85" t="s">
        <v>155</v>
      </c>
      <c r="B43" s="86" t="s">
        <v>156</v>
      </c>
      <c r="C43" s="86" t="s">
        <v>64</v>
      </c>
      <c r="D43" s="87" t="s">
        <v>132</v>
      </c>
      <c r="E43" s="87" t="s">
        <v>157</v>
      </c>
      <c r="F43" s="87" t="s">
        <v>334</v>
      </c>
      <c r="G43" s="86"/>
      <c r="H43" s="87" t="s">
        <v>308</v>
      </c>
      <c r="I43" s="86" t="s">
        <v>60</v>
      </c>
      <c r="J43" s="86" t="s">
        <v>60</v>
      </c>
      <c r="K43" s="86" t="s">
        <v>307</v>
      </c>
      <c r="L43" s="86" t="s">
        <v>307</v>
      </c>
      <c r="M43" s="86" t="s">
        <v>60</v>
      </c>
      <c r="N43" s="86" t="s">
        <v>60</v>
      </c>
      <c r="O43" s="88">
        <v>138536592</v>
      </c>
      <c r="P43" s="88">
        <v>411507561</v>
      </c>
      <c r="Q43" s="88">
        <v>22719917</v>
      </c>
      <c r="R43" s="88">
        <v>572764070</v>
      </c>
      <c r="S43" s="89">
        <f t="shared" si="21"/>
        <v>0.24187374742273901</v>
      </c>
      <c r="T43" s="90">
        <v>61813</v>
      </c>
      <c r="U43" s="86">
        <v>13</v>
      </c>
      <c r="V43" s="86">
        <v>13</v>
      </c>
      <c r="W43" s="86">
        <v>47464</v>
      </c>
      <c r="X43" s="86">
        <v>47464</v>
      </c>
      <c r="Y43" s="119">
        <v>1</v>
      </c>
      <c r="Z43" s="86">
        <v>11</v>
      </c>
      <c r="AA43" s="86">
        <v>2</v>
      </c>
      <c r="AB43" s="86">
        <v>99899</v>
      </c>
      <c r="AC43" s="86">
        <v>6641</v>
      </c>
      <c r="AD43" s="120">
        <v>6.6000000000000003E-2</v>
      </c>
      <c r="AE43" s="121">
        <v>-5.4000000000000003E-3</v>
      </c>
      <c r="AF43" s="121">
        <v>-4.0099999999999997E-2</v>
      </c>
      <c r="AG43" s="121">
        <v>3.8999999999999998E-3</v>
      </c>
      <c r="AH43" s="121">
        <v>3.2000000000000001E-2</v>
      </c>
      <c r="AI43" s="121">
        <v>5.1799999999999999E-2</v>
      </c>
      <c r="AJ43" s="121">
        <v>0.12509999999999999</v>
      </c>
      <c r="AK43" s="121">
        <v>-0.1106</v>
      </c>
      <c r="AL43" s="121">
        <v>0.20169999999999999</v>
      </c>
      <c r="AM43" s="121">
        <v>-0.24249999999999999</v>
      </c>
      <c r="AN43" s="121">
        <v>-0.16930000000000001</v>
      </c>
      <c r="AO43" s="121">
        <v>-0.1736</v>
      </c>
      <c r="AP43" s="121">
        <v>-0.26240000000000002</v>
      </c>
      <c r="AQ43" s="121">
        <v>5.4199999999999998E-2</v>
      </c>
      <c r="AR43" s="121">
        <v>0.86809999999999998</v>
      </c>
      <c r="AS43" s="121">
        <v>0.43240000000000001</v>
      </c>
      <c r="AT43" s="121">
        <v>0.19719999999999999</v>
      </c>
      <c r="AU43" s="122">
        <v>-11970</v>
      </c>
      <c r="AV43" s="123">
        <v>-0.21</v>
      </c>
      <c r="AW43" s="122">
        <v>-566</v>
      </c>
      <c r="AX43" s="123">
        <v>-6.0000000000000001E-3</v>
      </c>
      <c r="AY43" s="122">
        <v>17180</v>
      </c>
      <c r="AZ43" s="123">
        <v>0.25800000000000001</v>
      </c>
      <c r="BA43" s="122">
        <v>19260</v>
      </c>
      <c r="BB43" s="123">
        <v>0.56000000000000005</v>
      </c>
      <c r="BC43" s="122">
        <v>16082</v>
      </c>
      <c r="BD43" s="123">
        <v>0.51300000000000001</v>
      </c>
      <c r="BE43" s="122">
        <v>20007</v>
      </c>
      <c r="BF43" s="123">
        <v>0.77100000000000002</v>
      </c>
      <c r="BG43" s="122">
        <v>2137</v>
      </c>
      <c r="BH43" s="123">
        <v>0.40699999999999997</v>
      </c>
      <c r="BI43" s="122">
        <v>358</v>
      </c>
      <c r="BJ43" s="123">
        <v>0.42899999999999999</v>
      </c>
      <c r="BK43" s="91">
        <v>3.2</v>
      </c>
      <c r="BL43" s="91">
        <v>3.4</v>
      </c>
      <c r="BM43" s="92">
        <f t="shared" si="12"/>
        <v>6.2499999999999917E-2</v>
      </c>
      <c r="BN43" s="91">
        <v>4.4000000000000004</v>
      </c>
      <c r="BO43" s="91">
        <v>5.3</v>
      </c>
      <c r="BP43" s="92">
        <f t="shared" si="13"/>
        <v>-0.16981132075471689</v>
      </c>
      <c r="BQ43" s="90">
        <v>3634</v>
      </c>
      <c r="BR43" s="124">
        <v>10</v>
      </c>
      <c r="BS43" s="86"/>
      <c r="BT43" s="124">
        <v>3180</v>
      </c>
      <c r="BU43" s="86"/>
      <c r="BV43" s="93">
        <f t="shared" si="11"/>
        <v>0.87506879471656573</v>
      </c>
      <c r="BW43" s="86"/>
      <c r="BX43" s="120">
        <v>0.40200000000000002</v>
      </c>
      <c r="BY43" s="120">
        <v>0.33200000000000002</v>
      </c>
      <c r="BZ43" s="125">
        <f t="shared" si="14"/>
        <v>0.21084337349397592</v>
      </c>
      <c r="CA43" s="120">
        <v>1.6E-2</v>
      </c>
      <c r="CB43" s="126">
        <v>32800</v>
      </c>
      <c r="CC43" s="126">
        <v>42544</v>
      </c>
      <c r="CD43" s="126">
        <v>56275</v>
      </c>
      <c r="CE43" s="120">
        <f t="shared" si="15"/>
        <v>0.2970731707317073</v>
      </c>
      <c r="CF43" s="120">
        <f t="shared" si="16"/>
        <v>0.71570121951219512</v>
      </c>
      <c r="CG43" s="88">
        <v>2803826948</v>
      </c>
      <c r="CH43" s="127">
        <v>179740</v>
      </c>
      <c r="CI43" s="128">
        <f t="shared" si="17"/>
        <v>15599.3487704462</v>
      </c>
      <c r="CJ43" s="88">
        <v>1587786604</v>
      </c>
      <c r="CK43" s="127">
        <v>186106</v>
      </c>
      <c r="CL43" s="128">
        <f t="shared" si="18"/>
        <v>8531.6250094032439</v>
      </c>
      <c r="CM43" s="120">
        <f t="shared" si="19"/>
        <v>0.76587139665778414</v>
      </c>
      <c r="CN43" s="120">
        <f t="shared" si="20"/>
        <v>0.82841472207852207</v>
      </c>
      <c r="CO43" s="129">
        <v>5.93</v>
      </c>
      <c r="CP43" s="92">
        <v>-7.0000000000000007E-2</v>
      </c>
      <c r="CQ43" s="130">
        <v>7.0000000000000001E-3</v>
      </c>
    </row>
    <row r="44" spans="1:95" ht="13" x14ac:dyDescent="0.3">
      <c r="A44" s="75" t="s">
        <v>158</v>
      </c>
      <c r="B44" s="76" t="s">
        <v>159</v>
      </c>
      <c r="C44" s="76" t="s">
        <v>52</v>
      </c>
      <c r="D44" s="77" t="s">
        <v>79</v>
      </c>
      <c r="E44" s="77" t="s">
        <v>160</v>
      </c>
      <c r="F44" s="77" t="s">
        <v>335</v>
      </c>
      <c r="G44" s="76" t="s">
        <v>336</v>
      </c>
      <c r="H44" s="77" t="s">
        <v>308</v>
      </c>
      <c r="I44" s="76" t="s">
        <v>60</v>
      </c>
      <c r="J44" s="76" t="s">
        <v>60</v>
      </c>
      <c r="K44" s="76" t="s">
        <v>307</v>
      </c>
      <c r="L44" s="76" t="s">
        <v>307</v>
      </c>
      <c r="M44" s="76" t="s">
        <v>53</v>
      </c>
      <c r="N44" s="76" t="s">
        <v>53</v>
      </c>
      <c r="O44" s="78">
        <v>1179007312</v>
      </c>
      <c r="P44" s="78"/>
      <c r="Q44" s="78">
        <v>154510663</v>
      </c>
      <c r="R44" s="78">
        <v>1333517975</v>
      </c>
      <c r="S44" s="79">
        <f t="shared" si="21"/>
        <v>0.88413304815032578</v>
      </c>
      <c r="T44" s="80">
        <v>377367</v>
      </c>
      <c r="U44" s="76">
        <v>59</v>
      </c>
      <c r="V44" s="76">
        <v>35</v>
      </c>
      <c r="W44" s="76">
        <v>427816</v>
      </c>
      <c r="X44" s="76">
        <v>215945</v>
      </c>
      <c r="Y44" s="131">
        <v>0.505</v>
      </c>
      <c r="Z44" s="76">
        <v>42</v>
      </c>
      <c r="AA44" s="76">
        <v>7</v>
      </c>
      <c r="AB44" s="76">
        <v>472564</v>
      </c>
      <c r="AC44" s="76">
        <v>32564</v>
      </c>
      <c r="AD44" s="108">
        <v>6.9000000000000006E-2</v>
      </c>
      <c r="AE44" s="109">
        <v>-4.3E-3</v>
      </c>
      <c r="AF44" s="109">
        <v>0.12809999999999999</v>
      </c>
      <c r="AG44" s="109">
        <v>-1.44E-2</v>
      </c>
      <c r="AH44" s="109">
        <v>0.1613</v>
      </c>
      <c r="AI44" s="109">
        <v>5.4699999999999999E-2</v>
      </c>
      <c r="AJ44" s="109">
        <v>0.1399</v>
      </c>
      <c r="AK44" s="109">
        <v>-0.12089999999999999</v>
      </c>
      <c r="AL44" s="109">
        <v>-0.27010000000000001</v>
      </c>
      <c r="AM44" s="109">
        <v>-7.9299999999999995E-2</v>
      </c>
      <c r="AN44" s="109">
        <v>-0.16309999999999999</v>
      </c>
      <c r="AO44" s="109">
        <v>8.9999999999999993E-3</v>
      </c>
      <c r="AP44" s="109">
        <v>7.8399999999999997E-2</v>
      </c>
      <c r="AQ44" s="109">
        <v>0.16889999999999999</v>
      </c>
      <c r="AR44" s="109">
        <v>0.71940000000000004</v>
      </c>
      <c r="AS44" s="109">
        <v>-7.85E-2</v>
      </c>
      <c r="AT44" s="109">
        <v>-1.5599999999999999E-2</v>
      </c>
      <c r="AU44" s="110">
        <v>-10245</v>
      </c>
      <c r="AV44" s="111">
        <v>-2.4E-2</v>
      </c>
      <c r="AW44" s="110">
        <v>-6009</v>
      </c>
      <c r="AX44" s="111">
        <v>-1.2999999999999999E-2</v>
      </c>
      <c r="AY44" s="110">
        <v>60548</v>
      </c>
      <c r="AZ44" s="111">
        <v>0.23400000000000001</v>
      </c>
      <c r="BA44" s="110">
        <v>80322</v>
      </c>
      <c r="BB44" s="111">
        <v>0.59099999999999997</v>
      </c>
      <c r="BC44" s="110">
        <v>42102</v>
      </c>
      <c r="BD44" s="111">
        <v>0.56100000000000005</v>
      </c>
      <c r="BE44" s="110">
        <v>84843</v>
      </c>
      <c r="BF44" s="111">
        <v>0.80300000000000005</v>
      </c>
      <c r="BG44" s="110">
        <v>36465</v>
      </c>
      <c r="BH44" s="111">
        <v>0.46700000000000003</v>
      </c>
      <c r="BI44" s="110">
        <v>6177</v>
      </c>
      <c r="BJ44" s="111">
        <v>0.59399999999999997</v>
      </c>
      <c r="BK44" s="81">
        <v>4</v>
      </c>
      <c r="BL44" s="81">
        <v>4.0999999999999996</v>
      </c>
      <c r="BM44" s="82">
        <f t="shared" si="12"/>
        <v>2.4999999999999911E-2</v>
      </c>
      <c r="BN44" s="81">
        <v>4</v>
      </c>
      <c r="BO44" s="81">
        <v>5.9</v>
      </c>
      <c r="BP44" s="82">
        <f t="shared" si="13"/>
        <v>-0.32203389830508478</v>
      </c>
      <c r="BQ44" s="80">
        <v>15391</v>
      </c>
      <c r="BR44" s="112">
        <v>13</v>
      </c>
      <c r="BS44" s="76"/>
      <c r="BT44" s="112">
        <v>15980</v>
      </c>
      <c r="BU44" s="76"/>
      <c r="BV44" s="83">
        <f t="shared" si="11"/>
        <v>1.038269118315899</v>
      </c>
      <c r="BW44" s="76"/>
      <c r="BX44" s="108">
        <v>0.42</v>
      </c>
      <c r="BY44" s="108">
        <v>0.34799999999999998</v>
      </c>
      <c r="BZ44" s="113">
        <f t="shared" si="14"/>
        <v>0.20689655172413796</v>
      </c>
      <c r="CA44" s="108">
        <v>7.0000000000000007E-2</v>
      </c>
      <c r="CB44" s="114">
        <v>33765</v>
      </c>
      <c r="CC44" s="114">
        <v>45780</v>
      </c>
      <c r="CD44" s="114">
        <v>64894</v>
      </c>
      <c r="CE44" s="108">
        <f t="shared" si="15"/>
        <v>0.35584184806752556</v>
      </c>
      <c r="CF44" s="108">
        <f t="shared" si="16"/>
        <v>0.92193099363245967</v>
      </c>
      <c r="CG44" s="78">
        <v>11739100332</v>
      </c>
      <c r="CH44" s="115">
        <v>1016020</v>
      </c>
      <c r="CI44" s="116">
        <f t="shared" si="17"/>
        <v>11554.005169189582</v>
      </c>
      <c r="CJ44" s="78">
        <v>8502325663</v>
      </c>
      <c r="CK44" s="115">
        <v>1018936</v>
      </c>
      <c r="CL44" s="116">
        <f t="shared" si="18"/>
        <v>8344.3176637198012</v>
      </c>
      <c r="CM44" s="108">
        <f t="shared" si="19"/>
        <v>0.38069285949438936</v>
      </c>
      <c r="CN44" s="108">
        <f t="shared" si="20"/>
        <v>0.38465547871279621</v>
      </c>
      <c r="CO44" s="117">
        <v>6.35</v>
      </c>
      <c r="CP44" s="82">
        <v>-0.16</v>
      </c>
      <c r="CQ44" s="118">
        <v>-0.13500000000000001</v>
      </c>
    </row>
    <row r="45" spans="1:95" ht="13" x14ac:dyDescent="0.3">
      <c r="A45" s="85" t="s">
        <v>161</v>
      </c>
      <c r="B45" s="86" t="s">
        <v>162</v>
      </c>
      <c r="C45" s="86" t="s">
        <v>52</v>
      </c>
      <c r="D45" s="87"/>
      <c r="E45" s="87"/>
      <c r="F45" s="87"/>
      <c r="G45" s="86"/>
      <c r="H45" s="87" t="s">
        <v>306</v>
      </c>
      <c r="I45" s="86" t="s">
        <v>60</v>
      </c>
      <c r="J45" s="86" t="s">
        <v>60</v>
      </c>
      <c r="K45" s="86" t="s">
        <v>307</v>
      </c>
      <c r="L45" s="86" t="s">
        <v>307</v>
      </c>
      <c r="M45" s="86" t="s">
        <v>53</v>
      </c>
      <c r="N45" s="86" t="s">
        <v>60</v>
      </c>
      <c r="O45" s="88">
        <v>4994064</v>
      </c>
      <c r="P45" s="88">
        <v>9351867</v>
      </c>
      <c r="Q45" s="88"/>
      <c r="R45" s="88">
        <v>14345931</v>
      </c>
      <c r="S45" s="89">
        <f t="shared" si="21"/>
        <v>0.34811710721318817</v>
      </c>
      <c r="T45" s="90">
        <v>46110</v>
      </c>
      <c r="U45" s="86">
        <v>2</v>
      </c>
      <c r="V45" s="86">
        <v>1</v>
      </c>
      <c r="W45" s="86">
        <v>19167</v>
      </c>
      <c r="X45" s="86">
        <v>15088</v>
      </c>
      <c r="Y45" s="119">
        <v>0.78700000000000003</v>
      </c>
      <c r="Z45" s="86">
        <v>6</v>
      </c>
      <c r="AA45" s="86">
        <v>0</v>
      </c>
      <c r="AB45" s="86">
        <v>108192</v>
      </c>
      <c r="AC45" s="86">
        <v>0</v>
      </c>
      <c r="AD45" s="120">
        <v>0</v>
      </c>
      <c r="AE45" s="121">
        <v>5.1900000000000002E-2</v>
      </c>
      <c r="AF45" s="121">
        <v>0.20119999999999999</v>
      </c>
      <c r="AG45" s="121">
        <v>0.13719999999999999</v>
      </c>
      <c r="AH45" s="121">
        <v>0.29089999999999999</v>
      </c>
      <c r="AI45" s="121">
        <v>4.2799999999999998E-2</v>
      </c>
      <c r="AJ45" s="121">
        <v>0.12529999999999999</v>
      </c>
      <c r="AK45" s="121">
        <v>-0.12909999999999999</v>
      </c>
      <c r="AL45" s="121">
        <v>-0.1014</v>
      </c>
      <c r="AM45" s="121">
        <v>-0.14910000000000001</v>
      </c>
      <c r="AN45" s="121">
        <v>-0.20580000000000001</v>
      </c>
      <c r="AO45" s="121">
        <v>-3.2300000000000002E-2</v>
      </c>
      <c r="AP45" s="121">
        <v>-7.7499999999999999E-2</v>
      </c>
      <c r="AQ45" s="121">
        <v>0.1057</v>
      </c>
      <c r="AR45" s="121">
        <v>0.1321</v>
      </c>
      <c r="AS45" s="121">
        <v>-0.51</v>
      </c>
      <c r="AT45" s="121">
        <v>-0.35299999999999998</v>
      </c>
      <c r="AU45" s="122">
        <v>-2100</v>
      </c>
      <c r="AV45" s="123">
        <v>-0.10199999999999999</v>
      </c>
      <c r="AW45" s="122">
        <v>5333</v>
      </c>
      <c r="AX45" s="123">
        <v>5.0999999999999997E-2</v>
      </c>
      <c r="AY45" s="122">
        <v>1757</v>
      </c>
      <c r="AZ45" s="123">
        <v>0.314</v>
      </c>
      <c r="BA45" s="122">
        <v>11800</v>
      </c>
      <c r="BB45" s="123">
        <v>0.55200000000000005</v>
      </c>
      <c r="BC45" s="122">
        <v>2484</v>
      </c>
      <c r="BD45" s="123">
        <v>0.57299999999999995</v>
      </c>
      <c r="BE45" s="122">
        <v>13378</v>
      </c>
      <c r="BF45" s="123">
        <v>0.746</v>
      </c>
      <c r="BG45" s="122">
        <v>2183</v>
      </c>
      <c r="BH45" s="123">
        <v>0.41399999999999998</v>
      </c>
      <c r="BI45" s="122">
        <v>1630</v>
      </c>
      <c r="BJ45" s="123">
        <v>0.45600000000000002</v>
      </c>
      <c r="BK45" s="91">
        <v>2.7</v>
      </c>
      <c r="BL45" s="91">
        <v>3.2</v>
      </c>
      <c r="BM45" s="92">
        <f t="shared" si="12"/>
        <v>0.18518518518518517</v>
      </c>
      <c r="BN45" s="91">
        <v>4</v>
      </c>
      <c r="BO45" s="91">
        <v>4.9000000000000004</v>
      </c>
      <c r="BP45" s="92">
        <f t="shared" si="13"/>
        <v>-0.18367346938775517</v>
      </c>
      <c r="BQ45" s="90">
        <v>1616</v>
      </c>
      <c r="BR45" s="124">
        <v>12</v>
      </c>
      <c r="BS45" s="86"/>
      <c r="BT45" s="124">
        <v>2190</v>
      </c>
      <c r="BU45" s="86"/>
      <c r="BV45" s="93">
        <f t="shared" si="11"/>
        <v>1.3551980198019802</v>
      </c>
      <c r="BW45" s="86"/>
      <c r="BX45" s="120">
        <v>0.47499999999999998</v>
      </c>
      <c r="BY45" s="120">
        <v>0.41199999999999998</v>
      </c>
      <c r="BZ45" s="125">
        <f t="shared" si="14"/>
        <v>0.15291262135922332</v>
      </c>
      <c r="CA45" s="120">
        <v>0.01</v>
      </c>
      <c r="CB45" s="126">
        <v>38267</v>
      </c>
      <c r="CC45" s="126">
        <v>45000</v>
      </c>
      <c r="CD45" s="126">
        <v>60000</v>
      </c>
      <c r="CE45" s="120">
        <f t="shared" si="15"/>
        <v>0.17594794470431444</v>
      </c>
      <c r="CF45" s="120">
        <f t="shared" si="16"/>
        <v>0.56793059293908588</v>
      </c>
      <c r="CG45" s="88">
        <v>1514706700</v>
      </c>
      <c r="CH45" s="127">
        <v>131056</v>
      </c>
      <c r="CI45" s="128">
        <f t="shared" si="17"/>
        <v>11557.705866194603</v>
      </c>
      <c r="CJ45" s="88">
        <v>798346200</v>
      </c>
      <c r="CK45" s="127">
        <v>120680</v>
      </c>
      <c r="CL45" s="128">
        <f t="shared" si="18"/>
        <v>6615.3977461054028</v>
      </c>
      <c r="CM45" s="120">
        <f t="shared" si="19"/>
        <v>0.89730557996017268</v>
      </c>
      <c r="CN45" s="120">
        <f t="shared" si="20"/>
        <v>0.74709160503596639</v>
      </c>
      <c r="CO45" s="129">
        <v>7.22</v>
      </c>
      <c r="CP45" s="92">
        <v>-7.3999999999999996E-2</v>
      </c>
      <c r="CQ45" s="130">
        <v>-5.5E-2</v>
      </c>
    </row>
    <row r="46" spans="1:95" ht="13" x14ac:dyDescent="0.3">
      <c r="A46" s="75" t="s">
        <v>163</v>
      </c>
      <c r="B46" s="76" t="s">
        <v>164</v>
      </c>
      <c r="C46" s="76" t="s">
        <v>52</v>
      </c>
      <c r="D46" s="77"/>
      <c r="E46" s="77"/>
      <c r="F46" s="77"/>
      <c r="G46" s="76"/>
      <c r="H46" s="77" t="s">
        <v>313</v>
      </c>
      <c r="I46" s="76" t="s">
        <v>53</v>
      </c>
      <c r="J46" s="76" t="s">
        <v>53</v>
      </c>
      <c r="K46" s="76" t="s">
        <v>307</v>
      </c>
      <c r="L46" s="76" t="s">
        <v>311</v>
      </c>
      <c r="M46" s="76" t="s">
        <v>60</v>
      </c>
      <c r="N46" s="76" t="s">
        <v>53</v>
      </c>
      <c r="O46" s="78">
        <v>25005581</v>
      </c>
      <c r="P46" s="78">
        <v>70145</v>
      </c>
      <c r="Q46" s="78">
        <v>4704078</v>
      </c>
      <c r="R46" s="78">
        <v>29779804</v>
      </c>
      <c r="S46" s="79">
        <f t="shared" si="21"/>
        <v>0.83968252443837443</v>
      </c>
      <c r="T46" s="80">
        <v>5006</v>
      </c>
      <c r="U46" s="76">
        <v>2</v>
      </c>
      <c r="V46" s="76">
        <v>1</v>
      </c>
      <c r="W46" s="76">
        <v>4545</v>
      </c>
      <c r="X46" s="76">
        <v>2579</v>
      </c>
      <c r="Y46" s="131">
        <v>0.56699999999999995</v>
      </c>
      <c r="Z46" s="76">
        <v>3</v>
      </c>
      <c r="AA46" s="76">
        <v>0</v>
      </c>
      <c r="AB46" s="76">
        <v>14121</v>
      </c>
      <c r="AC46" s="76">
        <v>0</v>
      </c>
      <c r="AD46" s="108">
        <v>0</v>
      </c>
      <c r="AE46" s="109">
        <v>-1.3299999999999999E-2</v>
      </c>
      <c r="AF46" s="109">
        <v>7.8899999999999998E-2</v>
      </c>
      <c r="AG46" s="109">
        <v>-0.1249</v>
      </c>
      <c r="AH46" s="109">
        <v>-0.185</v>
      </c>
      <c r="AI46" s="109">
        <v>2.6200000000000001E-2</v>
      </c>
      <c r="AJ46" s="109">
        <v>3.9399999999999998E-2</v>
      </c>
      <c r="AK46" s="136"/>
      <c r="AL46" s="134"/>
      <c r="AM46" s="109">
        <v>-0.12759999999999999</v>
      </c>
      <c r="AN46" s="109">
        <v>-0.24060000000000001</v>
      </c>
      <c r="AO46" s="109">
        <v>4.2200000000000001E-2</v>
      </c>
      <c r="AP46" s="109">
        <v>-4.3700000000000003E-2</v>
      </c>
      <c r="AQ46" s="109">
        <v>0.72270000000000001</v>
      </c>
      <c r="AR46" s="109">
        <v>0.7661</v>
      </c>
      <c r="AS46" s="109">
        <v>0.10290000000000001</v>
      </c>
      <c r="AT46" s="136"/>
      <c r="AU46" s="110">
        <v>2377</v>
      </c>
      <c r="AV46" s="111">
        <v>0.60199999999999998</v>
      </c>
      <c r="AW46" s="110">
        <v>550</v>
      </c>
      <c r="AX46" s="111">
        <v>0.05</v>
      </c>
      <c r="AY46" s="110">
        <v>521</v>
      </c>
      <c r="AZ46" s="111">
        <v>0.40200000000000002</v>
      </c>
      <c r="BA46" s="110">
        <v>3394</v>
      </c>
      <c r="BB46" s="111">
        <v>0.69099999999999995</v>
      </c>
      <c r="BC46" s="110">
        <v>247</v>
      </c>
      <c r="BD46" s="111">
        <v>0.54300000000000004</v>
      </c>
      <c r="BE46" s="110">
        <v>3266</v>
      </c>
      <c r="BF46" s="111">
        <v>0.83</v>
      </c>
      <c r="BG46" s="110">
        <v>532</v>
      </c>
      <c r="BH46" s="111">
        <v>0.33600000000000002</v>
      </c>
      <c r="BI46" s="110">
        <v>26</v>
      </c>
      <c r="BJ46" s="111">
        <v>0.42299999999999999</v>
      </c>
      <c r="BK46" s="81">
        <v>1.9</v>
      </c>
      <c r="BL46" s="81">
        <v>2.2999999999999998</v>
      </c>
      <c r="BM46" s="82">
        <f t="shared" si="12"/>
        <v>0.21052631578947364</v>
      </c>
      <c r="BN46" s="81">
        <v>4.8</v>
      </c>
      <c r="BO46" s="81">
        <v>4.9000000000000004</v>
      </c>
      <c r="BP46" s="82">
        <f t="shared" si="13"/>
        <v>-2.0408163265306228E-2</v>
      </c>
      <c r="BQ46" s="76">
        <v>330</v>
      </c>
      <c r="BR46" s="112">
        <v>5</v>
      </c>
      <c r="BS46" s="76"/>
      <c r="BT46" s="112">
        <v>200</v>
      </c>
      <c r="BU46" s="76"/>
      <c r="BV46" s="83">
        <f t="shared" si="11"/>
        <v>0.60606060606060608</v>
      </c>
      <c r="BW46" s="76"/>
      <c r="BX46" s="108">
        <v>0.52100000000000002</v>
      </c>
      <c r="BY46" s="108">
        <v>0.45600000000000002</v>
      </c>
      <c r="BZ46" s="113">
        <f t="shared" si="14"/>
        <v>0.14254385964912281</v>
      </c>
      <c r="CA46" s="108">
        <v>2E-3</v>
      </c>
      <c r="CB46" s="114">
        <v>38936</v>
      </c>
      <c r="CC46" s="114">
        <v>50000</v>
      </c>
      <c r="CD46" s="114">
        <v>54145</v>
      </c>
      <c r="CE46" s="108">
        <f t="shared" si="15"/>
        <v>0.28415861927265257</v>
      </c>
      <c r="CF46" s="108">
        <f t="shared" si="16"/>
        <v>0.39061536881035547</v>
      </c>
      <c r="CG46" s="78">
        <v>128315277</v>
      </c>
      <c r="CH46" s="115">
        <v>19769</v>
      </c>
      <c r="CI46" s="116">
        <f t="shared" si="17"/>
        <v>6490.7318023167581</v>
      </c>
      <c r="CJ46" s="78">
        <v>92686200</v>
      </c>
      <c r="CK46" s="115">
        <v>21377</v>
      </c>
      <c r="CL46" s="116">
        <f t="shared" si="18"/>
        <v>4335.7908031997003</v>
      </c>
      <c r="CM46" s="108">
        <f t="shared" si="19"/>
        <v>0.38440541310356879</v>
      </c>
      <c r="CN46" s="108">
        <f t="shared" si="20"/>
        <v>0.49701221690095554</v>
      </c>
      <c r="CO46" s="117">
        <v>2.85</v>
      </c>
      <c r="CP46" s="82">
        <v>-0.02</v>
      </c>
      <c r="CQ46" s="118">
        <v>-0.13100000000000001</v>
      </c>
    </row>
    <row r="47" spans="1:95" ht="13" x14ac:dyDescent="0.3">
      <c r="A47" s="85" t="s">
        <v>165</v>
      </c>
      <c r="B47" s="86" t="s">
        <v>166</v>
      </c>
      <c r="C47" s="86" t="s">
        <v>52</v>
      </c>
      <c r="D47" s="87"/>
      <c r="E47" s="87"/>
      <c r="F47" s="87"/>
      <c r="G47" s="86"/>
      <c r="H47" s="87" t="s">
        <v>308</v>
      </c>
      <c r="I47" s="86" t="s">
        <v>53</v>
      </c>
      <c r="J47" s="86" t="s">
        <v>53</v>
      </c>
      <c r="K47" s="86" t="s">
        <v>307</v>
      </c>
      <c r="L47" s="86" t="s">
        <v>311</v>
      </c>
      <c r="M47" s="86" t="s">
        <v>60</v>
      </c>
      <c r="N47" s="86" t="s">
        <v>60</v>
      </c>
      <c r="O47" s="88">
        <v>686337750</v>
      </c>
      <c r="P47" s="88">
        <v>116151776</v>
      </c>
      <c r="Q47" s="88">
        <v>225480636</v>
      </c>
      <c r="R47" s="88">
        <v>1027970162</v>
      </c>
      <c r="S47" s="89">
        <f t="shared" si="21"/>
        <v>0.66766310479739388</v>
      </c>
      <c r="T47" s="90">
        <v>92627</v>
      </c>
      <c r="U47" s="86">
        <v>24</v>
      </c>
      <c r="V47" s="86">
        <v>9</v>
      </c>
      <c r="W47" s="86">
        <v>89729</v>
      </c>
      <c r="X47" s="86">
        <v>31346</v>
      </c>
      <c r="Y47" s="119">
        <v>0.34899999999999998</v>
      </c>
      <c r="Z47" s="86">
        <v>15</v>
      </c>
      <c r="AA47" s="86">
        <v>0</v>
      </c>
      <c r="AB47" s="86">
        <v>163822</v>
      </c>
      <c r="AC47" s="86">
        <v>0</v>
      </c>
      <c r="AD47" s="120">
        <v>0</v>
      </c>
      <c r="AE47" s="121">
        <v>-2.0799999999999999E-2</v>
      </c>
      <c r="AF47" s="121">
        <v>2.3699999999999999E-2</v>
      </c>
      <c r="AG47" s="121">
        <v>2.7199999999999998E-2</v>
      </c>
      <c r="AH47" s="121">
        <v>-7.4000000000000003E-3</v>
      </c>
      <c r="AI47" s="121">
        <v>-1.3599999999999999E-2</v>
      </c>
      <c r="AJ47" s="121">
        <v>2.5399999999999999E-2</v>
      </c>
      <c r="AK47" s="121">
        <v>-2.2200000000000001E-2</v>
      </c>
      <c r="AL47" s="121">
        <v>-0.17760000000000001</v>
      </c>
      <c r="AM47" s="121">
        <v>-0.1835</v>
      </c>
      <c r="AN47" s="121">
        <v>-0.35980000000000001</v>
      </c>
      <c r="AO47" s="121">
        <v>-5.0900000000000001E-2</v>
      </c>
      <c r="AP47" s="121">
        <v>-0.14349999999999999</v>
      </c>
      <c r="AQ47" s="121">
        <v>0.22520000000000001</v>
      </c>
      <c r="AR47" s="121">
        <v>0.68730000000000002</v>
      </c>
      <c r="AS47" s="121">
        <v>0.10390000000000001</v>
      </c>
      <c r="AT47" s="121">
        <v>6.6500000000000004E-2</v>
      </c>
      <c r="AU47" s="122">
        <v>-13084</v>
      </c>
      <c r="AV47" s="123">
        <v>-0.13100000000000001</v>
      </c>
      <c r="AW47" s="122">
        <v>-4226</v>
      </c>
      <c r="AX47" s="123">
        <v>-2.5000000000000001E-2</v>
      </c>
      <c r="AY47" s="122">
        <v>16059</v>
      </c>
      <c r="AZ47" s="123">
        <v>0.35099999999999998</v>
      </c>
      <c r="BA47" s="122">
        <v>33684</v>
      </c>
      <c r="BB47" s="123">
        <v>0.73099999999999998</v>
      </c>
      <c r="BC47" s="122">
        <v>15147</v>
      </c>
      <c r="BD47" s="123">
        <v>0.63400000000000001</v>
      </c>
      <c r="BE47" s="122">
        <v>34453</v>
      </c>
      <c r="BF47" s="123">
        <v>0.85699999999999998</v>
      </c>
      <c r="BG47" s="122">
        <v>9924</v>
      </c>
      <c r="BH47" s="123">
        <v>0.45100000000000001</v>
      </c>
      <c r="BI47" s="122">
        <v>292</v>
      </c>
      <c r="BJ47" s="123">
        <v>0.621</v>
      </c>
      <c r="BK47" s="91">
        <v>2.7</v>
      </c>
      <c r="BL47" s="91">
        <v>2.9</v>
      </c>
      <c r="BM47" s="92">
        <f t="shared" si="12"/>
        <v>7.4074074074073973E-2</v>
      </c>
      <c r="BN47" s="91">
        <v>5.6</v>
      </c>
      <c r="BO47" s="91">
        <v>6.1</v>
      </c>
      <c r="BP47" s="92">
        <f t="shared" si="13"/>
        <v>-8.1967213114754106E-2</v>
      </c>
      <c r="BQ47" s="90">
        <v>4549</v>
      </c>
      <c r="BR47" s="124">
        <v>12</v>
      </c>
      <c r="BS47" s="86"/>
      <c r="BT47" s="124">
        <v>4360</v>
      </c>
      <c r="BU47" s="86"/>
      <c r="BV47" s="93">
        <f t="shared" si="11"/>
        <v>0.95845240712244451</v>
      </c>
      <c r="BW47" s="86"/>
      <c r="BX47" s="120">
        <v>0.51500000000000001</v>
      </c>
      <c r="BY47" s="120">
        <v>0.45400000000000001</v>
      </c>
      <c r="BZ47" s="125">
        <f t="shared" si="14"/>
        <v>0.1343612334801762</v>
      </c>
      <c r="CA47" s="120">
        <v>2.3E-2</v>
      </c>
      <c r="CB47" s="126">
        <v>36000</v>
      </c>
      <c r="CC47" s="126">
        <v>47195</v>
      </c>
      <c r="CD47" s="126">
        <v>70907</v>
      </c>
      <c r="CE47" s="120">
        <f t="shared" si="15"/>
        <v>0.31097222222222221</v>
      </c>
      <c r="CF47" s="120">
        <f t="shared" si="16"/>
        <v>0.96963888888888894</v>
      </c>
      <c r="CG47" s="88">
        <v>3050284911</v>
      </c>
      <c r="CH47" s="127">
        <v>292848</v>
      </c>
      <c r="CI47" s="128">
        <f t="shared" si="17"/>
        <v>10415.93219349287</v>
      </c>
      <c r="CJ47" s="88">
        <v>1803409548</v>
      </c>
      <c r="CK47" s="127">
        <v>320687</v>
      </c>
      <c r="CL47" s="128">
        <f t="shared" si="18"/>
        <v>5623.5817105152373</v>
      </c>
      <c r="CM47" s="120">
        <f t="shared" si="19"/>
        <v>0.69139889182842451</v>
      </c>
      <c r="CN47" s="120">
        <f t="shared" si="20"/>
        <v>0.85218829025221965</v>
      </c>
      <c r="CO47" s="129">
        <v>4.6900000000000004</v>
      </c>
      <c r="CP47" s="92">
        <v>0</v>
      </c>
      <c r="CQ47" s="130">
        <v>0.09</v>
      </c>
    </row>
    <row r="48" spans="1:95" ht="13" x14ac:dyDescent="0.3">
      <c r="A48" s="75" t="s">
        <v>167</v>
      </c>
      <c r="B48" s="76" t="s">
        <v>168</v>
      </c>
      <c r="C48" s="76" t="s">
        <v>69</v>
      </c>
      <c r="D48" s="95">
        <v>45985</v>
      </c>
      <c r="E48" s="77" t="s">
        <v>169</v>
      </c>
      <c r="F48" s="77" t="s">
        <v>337</v>
      </c>
      <c r="G48" s="76"/>
      <c r="H48" s="77" t="s">
        <v>308</v>
      </c>
      <c r="I48" s="76" t="s">
        <v>60</v>
      </c>
      <c r="J48" s="76" t="s">
        <v>53</v>
      </c>
      <c r="K48" s="76" t="s">
        <v>311</v>
      </c>
      <c r="L48" s="76" t="s">
        <v>311</v>
      </c>
      <c r="M48" s="76" t="s">
        <v>60</v>
      </c>
      <c r="N48" s="76" t="s">
        <v>60</v>
      </c>
      <c r="O48" s="78">
        <v>509457351</v>
      </c>
      <c r="P48" s="78">
        <v>11738422</v>
      </c>
      <c r="Q48" s="78">
        <v>8964720</v>
      </c>
      <c r="R48" s="78">
        <v>530160493</v>
      </c>
      <c r="S48" s="79">
        <f t="shared" si="21"/>
        <v>0.9609492931416902</v>
      </c>
      <c r="T48" s="80">
        <v>68308</v>
      </c>
      <c r="U48" s="76">
        <v>33</v>
      </c>
      <c r="V48" s="76">
        <v>1</v>
      </c>
      <c r="W48" s="76">
        <v>117332</v>
      </c>
      <c r="X48" s="76">
        <v>3699</v>
      </c>
      <c r="Y48" s="131">
        <v>3.2000000000000001E-2</v>
      </c>
      <c r="Z48" s="76">
        <v>9</v>
      </c>
      <c r="AA48" s="76">
        <v>0</v>
      </c>
      <c r="AB48" s="76">
        <v>96935</v>
      </c>
      <c r="AC48" s="76">
        <v>0</v>
      </c>
      <c r="AD48" s="108">
        <v>0</v>
      </c>
      <c r="AE48" s="109">
        <v>-0.12690000000000001</v>
      </c>
      <c r="AF48" s="109">
        <v>-4.8399999999999999E-2</v>
      </c>
      <c r="AG48" s="109">
        <v>0.42149999999999999</v>
      </c>
      <c r="AH48" s="109">
        <v>0.39689999999999998</v>
      </c>
      <c r="AI48" s="109">
        <v>-2.4E-2</v>
      </c>
      <c r="AJ48" s="109">
        <v>-2.92E-2</v>
      </c>
      <c r="AK48" s="136"/>
      <c r="AL48" s="134"/>
      <c r="AM48" s="109">
        <v>-0.21690000000000001</v>
      </c>
      <c r="AN48" s="109">
        <v>-0.25979999999999998</v>
      </c>
      <c r="AO48" s="109">
        <v>-0.23130000000000001</v>
      </c>
      <c r="AP48" s="109">
        <v>-0.20519999999999999</v>
      </c>
      <c r="AQ48" s="109">
        <v>9.8799999999999999E-2</v>
      </c>
      <c r="AR48" s="109">
        <v>0.25990000000000002</v>
      </c>
      <c r="AS48" s="109">
        <v>-1.84E-2</v>
      </c>
      <c r="AT48" s="109">
        <v>-0.1507</v>
      </c>
      <c r="AU48" s="110">
        <v>-31165</v>
      </c>
      <c r="AV48" s="111">
        <v>-0.219</v>
      </c>
      <c r="AW48" s="110">
        <v>-14936</v>
      </c>
      <c r="AX48" s="111">
        <v>-0.13800000000000001</v>
      </c>
      <c r="AY48" s="110">
        <v>14058</v>
      </c>
      <c r="AZ48" s="111">
        <v>0.35599999999999998</v>
      </c>
      <c r="BA48" s="110">
        <v>19123</v>
      </c>
      <c r="BB48" s="111">
        <v>0.67600000000000005</v>
      </c>
      <c r="BC48" s="110">
        <v>2038</v>
      </c>
      <c r="BD48" s="111">
        <v>0.61199999999999999</v>
      </c>
      <c r="BE48" s="110">
        <v>18796</v>
      </c>
      <c r="BF48" s="111">
        <v>0.83099999999999996</v>
      </c>
      <c r="BG48" s="110">
        <v>737</v>
      </c>
      <c r="BH48" s="111">
        <v>0.443</v>
      </c>
      <c r="BI48" s="110">
        <v>435</v>
      </c>
      <c r="BJ48" s="111">
        <v>0.57399999999999995</v>
      </c>
      <c r="BK48" s="81">
        <v>4.2</v>
      </c>
      <c r="BL48" s="81">
        <v>4.5</v>
      </c>
      <c r="BM48" s="82">
        <f t="shared" si="12"/>
        <v>7.1428571428571383E-2</v>
      </c>
      <c r="BN48" s="81">
        <v>3.8</v>
      </c>
      <c r="BO48" s="81">
        <v>4.3</v>
      </c>
      <c r="BP48" s="82">
        <f t="shared" si="13"/>
        <v>-0.11627906976744186</v>
      </c>
      <c r="BQ48" s="80">
        <v>4147</v>
      </c>
      <c r="BR48" s="112">
        <v>11</v>
      </c>
      <c r="BS48" s="76"/>
      <c r="BT48" s="112">
        <v>3690</v>
      </c>
      <c r="BU48" s="76"/>
      <c r="BV48" s="83">
        <f t="shared" si="11"/>
        <v>0.88979985531709671</v>
      </c>
      <c r="BW48" s="76"/>
      <c r="BX48" s="108">
        <v>0.5</v>
      </c>
      <c r="BY48" s="108">
        <v>0.435</v>
      </c>
      <c r="BZ48" s="113">
        <f t="shared" si="14"/>
        <v>0.14942528735632185</v>
      </c>
      <c r="CA48" s="108">
        <v>2.5999999999999999E-2</v>
      </c>
      <c r="CB48" s="114">
        <v>40000</v>
      </c>
      <c r="CC48" s="114">
        <v>51915</v>
      </c>
      <c r="CD48" s="114">
        <v>76534</v>
      </c>
      <c r="CE48" s="108">
        <f t="shared" si="15"/>
        <v>0.297875</v>
      </c>
      <c r="CF48" s="108">
        <f t="shared" si="16"/>
        <v>0.91335</v>
      </c>
      <c r="CG48" s="78">
        <v>2614648320</v>
      </c>
      <c r="CH48" s="115">
        <v>204956</v>
      </c>
      <c r="CI48" s="116">
        <f t="shared" si="17"/>
        <v>12757.120162376315</v>
      </c>
      <c r="CJ48" s="78">
        <v>1570807000</v>
      </c>
      <c r="CK48" s="115">
        <v>249330</v>
      </c>
      <c r="CL48" s="116">
        <f t="shared" si="18"/>
        <v>6300.1123009665907</v>
      </c>
      <c r="CM48" s="108">
        <f t="shared" si="19"/>
        <v>0.66452550822602652</v>
      </c>
      <c r="CN48" s="108">
        <f t="shared" si="20"/>
        <v>1.0249036132925857</v>
      </c>
      <c r="CO48" s="117">
        <v>4.25</v>
      </c>
      <c r="CP48" s="82">
        <v>-0.11</v>
      </c>
      <c r="CQ48" s="118">
        <v>-6.4000000000000001E-2</v>
      </c>
    </row>
    <row r="49" spans="1:95" ht="13" x14ac:dyDescent="0.3">
      <c r="A49" s="85" t="s">
        <v>170</v>
      </c>
      <c r="B49" s="86" t="s">
        <v>171</v>
      </c>
      <c r="C49" s="86" t="s">
        <v>64</v>
      </c>
      <c r="D49" s="94">
        <v>45832</v>
      </c>
      <c r="E49" s="87" t="s">
        <v>172</v>
      </c>
      <c r="F49" s="87" t="s">
        <v>338</v>
      </c>
      <c r="G49" s="86"/>
      <c r="H49" s="87" t="s">
        <v>313</v>
      </c>
      <c r="I49" s="86" t="s">
        <v>53</v>
      </c>
      <c r="J49" s="86" t="s">
        <v>53</v>
      </c>
      <c r="K49" s="86" t="s">
        <v>307</v>
      </c>
      <c r="L49" s="86" t="s">
        <v>307</v>
      </c>
      <c r="M49" s="86" t="s">
        <v>60</v>
      </c>
      <c r="N49" s="86" t="s">
        <v>60</v>
      </c>
      <c r="O49" s="88">
        <v>43054892</v>
      </c>
      <c r="P49" s="88">
        <v>43234427</v>
      </c>
      <c r="Q49" s="88">
        <v>37583569</v>
      </c>
      <c r="R49" s="88">
        <v>123872888</v>
      </c>
      <c r="S49" s="89">
        <f t="shared" si="21"/>
        <v>0.34757316710013253</v>
      </c>
      <c r="T49" s="90">
        <v>17068</v>
      </c>
      <c r="U49" s="86">
        <v>11</v>
      </c>
      <c r="V49" s="86">
        <v>5</v>
      </c>
      <c r="W49" s="86">
        <v>10654</v>
      </c>
      <c r="X49" s="86">
        <v>4826</v>
      </c>
      <c r="Y49" s="119">
        <v>0.45300000000000001</v>
      </c>
      <c r="Z49" s="86">
        <v>10</v>
      </c>
      <c r="AA49" s="86">
        <v>2</v>
      </c>
      <c r="AB49" s="86">
        <v>42065</v>
      </c>
      <c r="AC49" s="86">
        <v>3222</v>
      </c>
      <c r="AD49" s="120">
        <v>7.6999999999999999E-2</v>
      </c>
      <c r="AE49" s="121">
        <v>-0.13550000000000001</v>
      </c>
      <c r="AF49" s="121">
        <v>-0.2288</v>
      </c>
      <c r="AG49" s="121">
        <v>-1.61E-2</v>
      </c>
      <c r="AH49" s="121">
        <v>0.2339</v>
      </c>
      <c r="AI49" s="121">
        <v>4.41E-2</v>
      </c>
      <c r="AJ49" s="121">
        <v>0.1598</v>
      </c>
      <c r="AK49" s="121">
        <v>-0.14829999999999999</v>
      </c>
      <c r="AL49" s="121">
        <v>-0.25159999999999999</v>
      </c>
      <c r="AM49" s="121">
        <v>-0.22450000000000001</v>
      </c>
      <c r="AN49" s="121">
        <v>-0.48330000000000001</v>
      </c>
      <c r="AO49" s="121">
        <v>-0.1797</v>
      </c>
      <c r="AP49" s="121">
        <v>-0.22700000000000001</v>
      </c>
      <c r="AQ49" s="121">
        <v>2.7699999999999999E-2</v>
      </c>
      <c r="AR49" s="121">
        <v>1.1910000000000001</v>
      </c>
      <c r="AS49" s="121">
        <v>-5.8400000000000001E-2</v>
      </c>
      <c r="AT49" s="121">
        <v>-2.0199999999999999E-2</v>
      </c>
      <c r="AU49" s="122">
        <v>-2091</v>
      </c>
      <c r="AV49" s="123">
        <v>-0.16400000000000001</v>
      </c>
      <c r="AW49" s="122">
        <v>-6059</v>
      </c>
      <c r="AX49" s="123">
        <v>-0.13400000000000001</v>
      </c>
      <c r="AY49" s="122">
        <v>3087</v>
      </c>
      <c r="AZ49" s="123">
        <v>0.309</v>
      </c>
      <c r="BA49" s="122">
        <v>10113</v>
      </c>
      <c r="BB49" s="123">
        <v>0.54200000000000004</v>
      </c>
      <c r="BC49" s="122">
        <v>2511</v>
      </c>
      <c r="BD49" s="123">
        <v>0.53800000000000003</v>
      </c>
      <c r="BE49" s="122">
        <v>9153</v>
      </c>
      <c r="BF49" s="123">
        <v>0.747</v>
      </c>
      <c r="BG49" s="122">
        <v>471</v>
      </c>
      <c r="BH49" s="123">
        <v>0.39300000000000002</v>
      </c>
      <c r="BI49" s="122">
        <v>103</v>
      </c>
      <c r="BJ49" s="123">
        <v>0.26600000000000001</v>
      </c>
      <c r="BK49" s="91">
        <v>3.9</v>
      </c>
      <c r="BL49" s="91">
        <v>4.0999999999999996</v>
      </c>
      <c r="BM49" s="92">
        <f t="shared" si="12"/>
        <v>5.1282051282051218E-2</v>
      </c>
      <c r="BN49" s="91">
        <v>5.9</v>
      </c>
      <c r="BO49" s="91">
        <v>6.9</v>
      </c>
      <c r="BP49" s="92">
        <f t="shared" si="13"/>
        <v>-0.14492753623188406</v>
      </c>
      <c r="BQ49" s="86">
        <v>900</v>
      </c>
      <c r="BR49" s="124">
        <v>12</v>
      </c>
      <c r="BS49" s="86"/>
      <c r="BT49" s="124">
        <v>880</v>
      </c>
      <c r="BU49" s="86"/>
      <c r="BV49" s="93">
        <f t="shared" si="11"/>
        <v>0.97777777777777775</v>
      </c>
      <c r="BW49" s="86"/>
      <c r="BX49" s="120">
        <v>0.33900000000000002</v>
      </c>
      <c r="BY49" s="120">
        <v>0.27600000000000002</v>
      </c>
      <c r="BZ49" s="125">
        <f t="shared" si="14"/>
        <v>0.22826086956521738</v>
      </c>
      <c r="CA49" s="120">
        <v>5.0000000000000001E-3</v>
      </c>
      <c r="CB49" s="126">
        <v>30559</v>
      </c>
      <c r="CC49" s="126">
        <v>41644</v>
      </c>
      <c r="CD49" s="126">
        <v>52000</v>
      </c>
      <c r="CE49" s="120">
        <f t="shared" si="15"/>
        <v>0.36274092738636737</v>
      </c>
      <c r="CF49" s="120">
        <f t="shared" si="16"/>
        <v>0.70162636211917928</v>
      </c>
      <c r="CG49" s="88">
        <v>539074451</v>
      </c>
      <c r="CH49" s="127">
        <v>59452</v>
      </c>
      <c r="CI49" s="128">
        <f t="shared" si="17"/>
        <v>9067.3896757047696</v>
      </c>
      <c r="CJ49" s="88">
        <v>516276320</v>
      </c>
      <c r="CK49" s="127">
        <v>77968</v>
      </c>
      <c r="CL49" s="128">
        <f t="shared" si="18"/>
        <v>6621.6437512825778</v>
      </c>
      <c r="CM49" s="120">
        <f t="shared" si="19"/>
        <v>4.4158777222244087E-2</v>
      </c>
      <c r="CN49" s="120">
        <f t="shared" si="20"/>
        <v>0.3693563133698432</v>
      </c>
      <c r="CO49" s="129">
        <v>6.23</v>
      </c>
      <c r="CP49" s="92">
        <v>-0.125</v>
      </c>
      <c r="CQ49" s="130">
        <v>-0.27</v>
      </c>
    </row>
    <row r="50" spans="1:95" ht="13" x14ac:dyDescent="0.3">
      <c r="A50" s="75" t="s">
        <v>173</v>
      </c>
      <c r="B50" s="76" t="s">
        <v>174</v>
      </c>
      <c r="C50" s="76" t="s">
        <v>52</v>
      </c>
      <c r="D50" s="77"/>
      <c r="E50" s="77"/>
      <c r="F50" s="77"/>
      <c r="G50" s="76"/>
      <c r="H50" s="77" t="s">
        <v>313</v>
      </c>
      <c r="I50" s="76" t="s">
        <v>60</v>
      </c>
      <c r="J50" s="76" t="s">
        <v>53</v>
      </c>
      <c r="K50" s="76" t="s">
        <v>311</v>
      </c>
      <c r="L50" s="76" t="s">
        <v>307</v>
      </c>
      <c r="M50" s="76" t="s">
        <v>53</v>
      </c>
      <c r="N50" s="76" t="s">
        <v>60</v>
      </c>
      <c r="O50" s="78">
        <v>112362506</v>
      </c>
      <c r="P50" s="78">
        <v>4283549</v>
      </c>
      <c r="Q50" s="78">
        <v>13759266</v>
      </c>
      <c r="R50" s="78">
        <v>130405321</v>
      </c>
      <c r="S50" s="79">
        <f t="shared" si="21"/>
        <v>0.86164050008358173</v>
      </c>
      <c r="T50" s="80">
        <v>61460</v>
      </c>
      <c r="U50" s="76">
        <v>16</v>
      </c>
      <c r="V50" s="76">
        <v>1</v>
      </c>
      <c r="W50" s="76">
        <v>51143</v>
      </c>
      <c r="X50" s="76">
        <v>7378</v>
      </c>
      <c r="Y50" s="131">
        <v>0.14399999999999999</v>
      </c>
      <c r="Z50" s="76">
        <v>16</v>
      </c>
      <c r="AA50" s="76">
        <v>0</v>
      </c>
      <c r="AB50" s="76">
        <v>120561</v>
      </c>
      <c r="AC50" s="76">
        <v>0</v>
      </c>
      <c r="AD50" s="108">
        <v>0</v>
      </c>
      <c r="AE50" s="109">
        <v>-8.8099999999999998E-2</v>
      </c>
      <c r="AF50" s="109">
        <v>-9.9099999999999994E-2</v>
      </c>
      <c r="AG50" s="109">
        <v>-3.3799999999999997E-2</v>
      </c>
      <c r="AH50" s="109">
        <v>0.26379999999999998</v>
      </c>
      <c r="AI50" s="109">
        <v>2.2200000000000001E-2</v>
      </c>
      <c r="AJ50" s="109">
        <v>0.1004</v>
      </c>
      <c r="AK50" s="136"/>
      <c r="AL50" s="109">
        <v>-0.84289999999999998</v>
      </c>
      <c r="AM50" s="109">
        <v>-0.14630000000000001</v>
      </c>
      <c r="AN50" s="109">
        <v>-0.34239999999999998</v>
      </c>
      <c r="AO50" s="109">
        <v>-1.37E-2</v>
      </c>
      <c r="AP50" s="109">
        <v>5.3600000000000002E-2</v>
      </c>
      <c r="AQ50" s="109">
        <v>0.19389999999999999</v>
      </c>
      <c r="AR50" s="109">
        <v>0.39290000000000003</v>
      </c>
      <c r="AS50" s="109">
        <v>4.7600000000000003E-2</v>
      </c>
      <c r="AT50" s="109">
        <v>0.26019999999999999</v>
      </c>
      <c r="AU50" s="110">
        <v>-5306</v>
      </c>
      <c r="AV50" s="111">
        <v>-9.2999999999999999E-2</v>
      </c>
      <c r="AW50" s="110">
        <v>-9879</v>
      </c>
      <c r="AX50" s="111">
        <v>-7.6999999999999999E-2</v>
      </c>
      <c r="AY50" s="110">
        <v>6544</v>
      </c>
      <c r="AZ50" s="111">
        <v>0.40100000000000002</v>
      </c>
      <c r="BA50" s="110">
        <v>25291</v>
      </c>
      <c r="BB50" s="111">
        <v>0.66</v>
      </c>
      <c r="BC50" s="110">
        <v>5683</v>
      </c>
      <c r="BD50" s="111">
        <v>0.64300000000000002</v>
      </c>
      <c r="BE50" s="110">
        <v>25117</v>
      </c>
      <c r="BF50" s="111">
        <v>0.81699999999999995</v>
      </c>
      <c r="BG50" s="110">
        <v>5971</v>
      </c>
      <c r="BH50" s="111">
        <v>0.53400000000000003</v>
      </c>
      <c r="BI50" s="110">
        <v>297</v>
      </c>
      <c r="BJ50" s="111">
        <v>0.44400000000000001</v>
      </c>
      <c r="BK50" s="81">
        <v>2.8</v>
      </c>
      <c r="BL50" s="81">
        <v>3</v>
      </c>
      <c r="BM50" s="82">
        <f t="shared" si="12"/>
        <v>7.1428571428571494E-2</v>
      </c>
      <c r="BN50" s="81">
        <v>4.5999999999999996</v>
      </c>
      <c r="BO50" s="81">
        <v>5.5</v>
      </c>
      <c r="BP50" s="82">
        <f t="shared" si="13"/>
        <v>-0.16363636363636369</v>
      </c>
      <c r="BQ50" s="80">
        <v>3010</v>
      </c>
      <c r="BR50" s="112">
        <v>16</v>
      </c>
      <c r="BS50" s="76"/>
      <c r="BT50" s="112">
        <v>3160</v>
      </c>
      <c r="BU50" s="76"/>
      <c r="BV50" s="83">
        <f t="shared" si="11"/>
        <v>1.0498338870431894</v>
      </c>
      <c r="BW50" s="76"/>
      <c r="BX50" s="108">
        <v>0.46800000000000003</v>
      </c>
      <c r="BY50" s="108">
        <v>0.40699999999999997</v>
      </c>
      <c r="BZ50" s="113">
        <f t="shared" si="14"/>
        <v>0.14987714987715001</v>
      </c>
      <c r="CA50" s="108">
        <v>1.7000000000000001E-2</v>
      </c>
      <c r="CB50" s="114">
        <v>38936</v>
      </c>
      <c r="CC50" s="114">
        <v>50085</v>
      </c>
      <c r="CD50" s="114">
        <v>61903</v>
      </c>
      <c r="CE50" s="108">
        <f t="shared" si="15"/>
        <v>0.28634168892541606</v>
      </c>
      <c r="CF50" s="108">
        <f t="shared" si="16"/>
        <v>0.58986542017670018</v>
      </c>
      <c r="CG50" s="78">
        <v>2019871243</v>
      </c>
      <c r="CH50" s="115">
        <v>196259</v>
      </c>
      <c r="CI50" s="116">
        <f t="shared" si="17"/>
        <v>10291.865560305514</v>
      </c>
      <c r="CJ50" s="78">
        <v>1729131350</v>
      </c>
      <c r="CK50" s="115">
        <v>224850</v>
      </c>
      <c r="CL50" s="116">
        <f t="shared" si="18"/>
        <v>7690.1549922170334</v>
      </c>
      <c r="CM50" s="108">
        <f t="shared" si="19"/>
        <v>0.16814216745303937</v>
      </c>
      <c r="CN50" s="108">
        <f t="shared" si="20"/>
        <v>0.33831705222087083</v>
      </c>
      <c r="CO50" s="117">
        <v>5.67</v>
      </c>
      <c r="CP50" s="82">
        <v>-0.104</v>
      </c>
      <c r="CQ50" s="118">
        <v>-0.23200000000000001</v>
      </c>
    </row>
    <row r="51" spans="1:95" ht="13" x14ac:dyDescent="0.3">
      <c r="A51" s="96" t="s">
        <v>175</v>
      </c>
      <c r="B51" s="97" t="s">
        <v>176</v>
      </c>
      <c r="C51" s="97" t="s">
        <v>52</v>
      </c>
      <c r="D51" s="98"/>
      <c r="E51" s="98"/>
      <c r="F51" s="98"/>
      <c r="G51" s="97"/>
      <c r="H51" s="98" t="s">
        <v>313</v>
      </c>
      <c r="I51" s="97" t="s">
        <v>60</v>
      </c>
      <c r="J51" s="97" t="s">
        <v>53</v>
      </c>
      <c r="K51" s="97" t="s">
        <v>307</v>
      </c>
      <c r="L51" s="97" t="s">
        <v>307</v>
      </c>
      <c r="M51" s="97" t="s">
        <v>60</v>
      </c>
      <c r="N51" s="97" t="s">
        <v>60</v>
      </c>
      <c r="O51" s="99">
        <v>15353773</v>
      </c>
      <c r="P51" s="99"/>
      <c r="Q51" s="99"/>
      <c r="R51" s="99">
        <v>15353773</v>
      </c>
      <c r="S51" s="100">
        <f t="shared" si="21"/>
        <v>1</v>
      </c>
      <c r="T51" s="101">
        <v>6208</v>
      </c>
      <c r="U51" s="97">
        <v>7</v>
      </c>
      <c r="V51" s="97">
        <v>0</v>
      </c>
      <c r="W51" s="97">
        <v>10504</v>
      </c>
      <c r="X51" s="97">
        <v>0</v>
      </c>
      <c r="Y51" s="137">
        <v>0</v>
      </c>
      <c r="Z51" s="97">
        <v>1</v>
      </c>
      <c r="AA51" s="97">
        <v>0</v>
      </c>
      <c r="AB51" s="97">
        <v>7877</v>
      </c>
      <c r="AC51" s="97">
        <v>0</v>
      </c>
      <c r="AD51" s="138">
        <v>0</v>
      </c>
      <c r="AE51" s="139">
        <v>-0.16500000000000001</v>
      </c>
      <c r="AF51" s="139">
        <v>-0.14449999999999999</v>
      </c>
      <c r="AG51" s="139">
        <v>-5.5199999999999999E-2</v>
      </c>
      <c r="AH51" s="139">
        <v>-0.218</v>
      </c>
      <c r="AI51" s="139">
        <v>8.0000000000000004E-4</v>
      </c>
      <c r="AJ51" s="139">
        <v>0.1082</v>
      </c>
      <c r="AK51" s="139">
        <v>-7.3200000000000001E-2</v>
      </c>
      <c r="AL51" s="139">
        <v>-0.16389999999999999</v>
      </c>
      <c r="AM51" s="139">
        <v>-0.1361</v>
      </c>
      <c r="AN51" s="139">
        <v>-0.2843</v>
      </c>
      <c r="AO51" s="139">
        <v>-8.9300000000000004E-2</v>
      </c>
      <c r="AP51" s="139">
        <v>-0.16789999999999999</v>
      </c>
      <c r="AQ51" s="139">
        <v>1.5E-3</v>
      </c>
      <c r="AR51" s="139">
        <v>0.23089999999999999</v>
      </c>
      <c r="AS51" s="139">
        <v>-2.9600000000000001E-2</v>
      </c>
      <c r="AT51" s="139">
        <v>2.64E-2</v>
      </c>
      <c r="AU51" s="140">
        <v>-1360</v>
      </c>
      <c r="AV51" s="141">
        <v>-0.11600000000000001</v>
      </c>
      <c r="AW51" s="140">
        <v>-1456</v>
      </c>
      <c r="AX51" s="141">
        <v>-0.16</v>
      </c>
      <c r="AY51" s="140">
        <v>2742</v>
      </c>
      <c r="AZ51" s="141">
        <v>0.375</v>
      </c>
      <c r="BA51" s="140">
        <v>1628</v>
      </c>
      <c r="BB51" s="141">
        <v>0.60299999999999998</v>
      </c>
      <c r="BC51" s="140">
        <v>1686</v>
      </c>
      <c r="BD51" s="141">
        <v>0.61099999999999999</v>
      </c>
      <c r="BE51" s="140">
        <v>1532</v>
      </c>
      <c r="BF51" s="141">
        <v>0.77300000000000002</v>
      </c>
      <c r="BG51" s="140">
        <v>287</v>
      </c>
      <c r="BH51" s="141">
        <v>0.318</v>
      </c>
      <c r="BI51" s="140">
        <v>19</v>
      </c>
      <c r="BJ51" s="141">
        <v>0.38600000000000001</v>
      </c>
      <c r="BK51" s="102">
        <v>2.9</v>
      </c>
      <c r="BL51" s="102">
        <v>3.2</v>
      </c>
      <c r="BM51" s="103">
        <f t="shared" si="12"/>
        <v>0.10344827586206906</v>
      </c>
      <c r="BN51" s="102">
        <v>4.8</v>
      </c>
      <c r="BO51" s="102">
        <v>5.8</v>
      </c>
      <c r="BP51" s="103">
        <f t="shared" si="13"/>
        <v>-0.17241379310344829</v>
      </c>
      <c r="BQ51" s="97">
        <v>291</v>
      </c>
      <c r="BR51" s="142">
        <v>4</v>
      </c>
      <c r="BS51" s="97"/>
      <c r="BT51" s="142">
        <v>130</v>
      </c>
      <c r="BU51" s="97"/>
      <c r="BV51" s="104">
        <f t="shared" si="11"/>
        <v>0.44673539518900346</v>
      </c>
      <c r="BW51" s="97"/>
      <c r="BX51" s="138">
        <v>0.42899999999999999</v>
      </c>
      <c r="BY51" s="138">
        <v>0.378</v>
      </c>
      <c r="BZ51" s="143">
        <f t="shared" si="14"/>
        <v>0.13492063492063489</v>
      </c>
      <c r="CA51" s="138">
        <v>2E-3</v>
      </c>
      <c r="CB51" s="144">
        <v>39393</v>
      </c>
      <c r="CC51" s="144">
        <v>50000</v>
      </c>
      <c r="CD51" s="144">
        <v>57000</v>
      </c>
      <c r="CE51" s="138">
        <f t="shared" si="15"/>
        <v>0.26926103622470998</v>
      </c>
      <c r="CF51" s="138">
        <f t="shared" si="16"/>
        <v>0.44695758129616936</v>
      </c>
      <c r="CG51" s="99">
        <v>395521036</v>
      </c>
      <c r="CH51" s="145">
        <v>20927</v>
      </c>
      <c r="CI51" s="146">
        <f t="shared" si="17"/>
        <v>18900.035169876235</v>
      </c>
      <c r="CJ51" s="99">
        <v>386890466</v>
      </c>
      <c r="CK51" s="145">
        <v>25030</v>
      </c>
      <c r="CL51" s="146">
        <f t="shared" si="18"/>
        <v>15457.070155813024</v>
      </c>
      <c r="CM51" s="138">
        <f t="shared" si="19"/>
        <v>2.2307528250127519E-2</v>
      </c>
      <c r="CN51" s="138">
        <f t="shared" si="20"/>
        <v>0.2227437010608635</v>
      </c>
      <c r="CO51" s="147">
        <v>9.59</v>
      </c>
      <c r="CP51" s="103">
        <v>-0.28199999999999997</v>
      </c>
      <c r="CQ51" s="148">
        <v>-0.26300000000000001</v>
      </c>
    </row>
  </sheetData>
  <dataValidations count="5">
    <dataValidation type="list" allowBlank="1" sqref="H2:H51" xr:uid="{05EB8099-B95E-441A-85E4-CBD3C9822042}">
      <formula1>"Single, statewide coordinating board/agency,Single, statewide governing board,Administrative/service agency,One or more major, systemwide coordinating or governing board,n/a"</formula1>
    </dataValidation>
    <dataValidation type="list" allowBlank="1" sqref="C2:C51" xr:uid="{531C3225-BC96-4FD8-8C5E-E27C5A295570}">
      <formula1>"Existing Partner,SHEEO,Both,Neither"</formula1>
    </dataValidation>
    <dataValidation type="list" allowBlank="1" sqref="L2:L51" xr:uid="{18893625-12C1-4B1E-BE1D-DEBD15F7B9C8}">
      <formula1>"Republican,Democrat,Split,Nonpartisan"</formula1>
    </dataValidation>
    <dataValidation type="custom" allowBlank="1" showDropDown="1" sqref="O2:S51 BV2:BV51 CB2:CD51" xr:uid="{C877A8D4-D404-409D-B62E-84D4CC90727E}">
      <formula1>AND(ISNUMBER(O2),(NOT(OR(NOT(ISERROR(DATEVALUE(O2))), AND(ISNUMBER(O2), LEFT(CELL("format", O2))="D")))))</formula1>
    </dataValidation>
    <dataValidation type="list" allowBlank="1" sqref="K2:K51" xr:uid="{63A18EDC-772B-46A8-8021-18D05A05C290}">
      <formula1>"Republican,Democrat"</formula1>
    </dataValidation>
  </dataValidations>
  <pageMargins left="0.7" right="0.7" top="0.75" bottom="0.75" header="0.3" footer="0.3"/>
  <legacyDrawing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10F5C-64F5-4D5A-83C9-5FA3EBBFDF0C}">
  <sheetPr>
    <outlinePr summaryBelow="0" summaryRight="0"/>
  </sheetPr>
  <dimension ref="A1:E878"/>
  <sheetViews>
    <sheetView topLeftCell="A149" workbookViewId="0">
      <selection activeCell="B210" sqref="B210"/>
    </sheetView>
  </sheetViews>
  <sheetFormatPr defaultColWidth="12.6328125" defaultRowHeight="15.75" customHeight="1" x14ac:dyDescent="0.3"/>
  <cols>
    <col min="1" max="1" width="16.08984375" style="84" customWidth="1"/>
    <col min="2" max="2" width="60.453125" style="84" customWidth="1"/>
    <col min="3" max="3" width="25.81640625" style="84" customWidth="1"/>
    <col min="4" max="4" width="23" style="84" customWidth="1"/>
    <col min="5" max="5" width="51.90625" style="84" customWidth="1"/>
    <col min="6" max="16384" width="12.6328125" style="84"/>
  </cols>
  <sheetData>
    <row r="1" spans="1:5" s="74" customFormat="1" ht="13" x14ac:dyDescent="0.3">
      <c r="A1" s="63" t="s">
        <v>339</v>
      </c>
      <c r="B1" s="63" t="s">
        <v>634</v>
      </c>
      <c r="C1" s="63" t="s">
        <v>635</v>
      </c>
      <c r="D1" s="63" t="s">
        <v>340</v>
      </c>
      <c r="E1" s="63" t="s">
        <v>341</v>
      </c>
    </row>
    <row r="2" spans="1:5" ht="13" x14ac:dyDescent="0.3">
      <c r="A2" s="64" t="s">
        <v>50</v>
      </c>
      <c r="B2" s="65" t="s">
        <v>342</v>
      </c>
      <c r="C2" s="65" t="s">
        <v>343</v>
      </c>
      <c r="D2" s="65" t="s">
        <v>344</v>
      </c>
      <c r="E2" s="65" t="s">
        <v>345</v>
      </c>
    </row>
    <row r="3" spans="1:5" ht="13" x14ac:dyDescent="0.3">
      <c r="A3" s="64" t="s">
        <v>50</v>
      </c>
      <c r="B3" s="65" t="s">
        <v>346</v>
      </c>
      <c r="C3" s="65" t="s">
        <v>347</v>
      </c>
      <c r="D3" s="65"/>
      <c r="E3" s="65" t="s">
        <v>345</v>
      </c>
    </row>
    <row r="4" spans="1:5" ht="13" x14ac:dyDescent="0.3">
      <c r="A4" s="64" t="s">
        <v>50</v>
      </c>
      <c r="B4" s="65" t="s">
        <v>348</v>
      </c>
      <c r="C4" s="65" t="s">
        <v>349</v>
      </c>
      <c r="D4" s="65"/>
      <c r="E4" s="65" t="s">
        <v>350</v>
      </c>
    </row>
    <row r="5" spans="1:5" ht="13" x14ac:dyDescent="0.3">
      <c r="A5" s="64" t="s">
        <v>50</v>
      </c>
      <c r="B5" s="65" t="s">
        <v>351</v>
      </c>
      <c r="C5" s="65" t="s">
        <v>349</v>
      </c>
      <c r="D5" s="65"/>
      <c r="E5" s="65" t="s">
        <v>352</v>
      </c>
    </row>
    <row r="6" spans="1:5" ht="13" x14ac:dyDescent="0.3">
      <c r="A6" s="64" t="s">
        <v>50</v>
      </c>
      <c r="B6" s="65" t="s">
        <v>353</v>
      </c>
      <c r="C6" s="65" t="s">
        <v>354</v>
      </c>
      <c r="D6" s="65"/>
      <c r="E6" s="65" t="s">
        <v>355</v>
      </c>
    </row>
    <row r="7" spans="1:5" ht="13" x14ac:dyDescent="0.3">
      <c r="A7" s="64" t="s">
        <v>54</v>
      </c>
      <c r="B7" s="65" t="s">
        <v>356</v>
      </c>
      <c r="C7" s="65" t="s">
        <v>349</v>
      </c>
      <c r="D7" s="65" t="s">
        <v>344</v>
      </c>
      <c r="E7" s="65" t="s">
        <v>357</v>
      </c>
    </row>
    <row r="8" spans="1:5" ht="13" x14ac:dyDescent="0.3">
      <c r="A8" s="64" t="s">
        <v>54</v>
      </c>
      <c r="B8" s="65" t="s">
        <v>358</v>
      </c>
      <c r="C8" s="65" t="s">
        <v>347</v>
      </c>
      <c r="D8" s="65"/>
      <c r="E8" s="65" t="s">
        <v>357</v>
      </c>
    </row>
    <row r="9" spans="1:5" ht="13" x14ac:dyDescent="0.3">
      <c r="A9" s="64" t="s">
        <v>54</v>
      </c>
      <c r="B9" s="65" t="s">
        <v>359</v>
      </c>
      <c r="C9" s="65" t="s">
        <v>347</v>
      </c>
      <c r="D9" s="65"/>
      <c r="E9" s="65" t="s">
        <v>345</v>
      </c>
    </row>
    <row r="10" spans="1:5" ht="13" x14ac:dyDescent="0.3">
      <c r="A10" s="64" t="s">
        <v>56</v>
      </c>
      <c r="B10" s="65" t="s">
        <v>360</v>
      </c>
      <c r="C10" s="65" t="s">
        <v>349</v>
      </c>
      <c r="D10" s="65" t="s">
        <v>361</v>
      </c>
      <c r="E10" s="65" t="s">
        <v>350</v>
      </c>
    </row>
    <row r="11" spans="1:5" ht="13" x14ac:dyDescent="0.3">
      <c r="A11" s="64" t="s">
        <v>56</v>
      </c>
      <c r="B11" s="65" t="s">
        <v>362</v>
      </c>
      <c r="C11" s="65" t="s">
        <v>347</v>
      </c>
      <c r="D11" s="65"/>
      <c r="E11" s="65" t="s">
        <v>350</v>
      </c>
    </row>
    <row r="12" spans="1:5" ht="13" x14ac:dyDescent="0.3">
      <c r="A12" s="64" t="s">
        <v>56</v>
      </c>
      <c r="B12" s="65" t="s">
        <v>363</v>
      </c>
      <c r="C12" s="65" t="s">
        <v>347</v>
      </c>
      <c r="D12" s="65"/>
      <c r="E12" s="65" t="s">
        <v>345</v>
      </c>
    </row>
    <row r="13" spans="1:5" ht="13" x14ac:dyDescent="0.3">
      <c r="A13" s="64" t="s">
        <v>56</v>
      </c>
      <c r="B13" s="65" t="s">
        <v>364</v>
      </c>
      <c r="C13" s="65" t="s">
        <v>354</v>
      </c>
      <c r="D13" s="65"/>
      <c r="E13" s="65" t="s">
        <v>352</v>
      </c>
    </row>
    <row r="14" spans="1:5" ht="13" x14ac:dyDescent="0.3">
      <c r="A14" s="64" t="s">
        <v>61</v>
      </c>
      <c r="B14" s="65" t="s">
        <v>365</v>
      </c>
      <c r="C14" s="65" t="s">
        <v>343</v>
      </c>
      <c r="D14" s="65" t="s">
        <v>344</v>
      </c>
      <c r="E14" s="65" t="s">
        <v>357</v>
      </c>
    </row>
    <row r="15" spans="1:5" ht="13" x14ac:dyDescent="0.3">
      <c r="A15" s="64" t="s">
        <v>61</v>
      </c>
      <c r="B15" s="65" t="s">
        <v>366</v>
      </c>
      <c r="C15" s="65" t="s">
        <v>347</v>
      </c>
      <c r="D15" s="65"/>
      <c r="E15" s="65" t="s">
        <v>357</v>
      </c>
    </row>
    <row r="16" spans="1:5" ht="13" x14ac:dyDescent="0.3">
      <c r="A16" s="64" t="s">
        <v>61</v>
      </c>
      <c r="B16" s="65" t="s">
        <v>367</v>
      </c>
      <c r="C16" s="65" t="s">
        <v>349</v>
      </c>
      <c r="D16" s="65"/>
      <c r="E16" s="65" t="s">
        <v>357</v>
      </c>
    </row>
    <row r="17" spans="1:5" ht="13" x14ac:dyDescent="0.3">
      <c r="A17" s="64" t="s">
        <v>61</v>
      </c>
      <c r="B17" s="65" t="s">
        <v>368</v>
      </c>
      <c r="C17" s="65" t="s">
        <v>349</v>
      </c>
      <c r="D17" s="65"/>
      <c r="E17" s="65" t="s">
        <v>357</v>
      </c>
    </row>
    <row r="18" spans="1:5" ht="13" x14ac:dyDescent="0.3">
      <c r="A18" s="64" t="s">
        <v>61</v>
      </c>
      <c r="B18" s="65" t="s">
        <v>369</v>
      </c>
      <c r="C18" s="65" t="s">
        <v>354</v>
      </c>
      <c r="D18" s="65"/>
      <c r="E18" s="65" t="s">
        <v>352</v>
      </c>
    </row>
    <row r="19" spans="1:5" ht="13" x14ac:dyDescent="0.3">
      <c r="A19" s="64" t="s">
        <v>61</v>
      </c>
      <c r="B19" s="65" t="s">
        <v>370</v>
      </c>
      <c r="C19" s="65" t="s">
        <v>354</v>
      </c>
      <c r="D19" s="65"/>
      <c r="E19" s="65" t="s">
        <v>355</v>
      </c>
    </row>
    <row r="20" spans="1:5" ht="13" x14ac:dyDescent="0.3">
      <c r="A20" s="64" t="s">
        <v>2</v>
      </c>
      <c r="B20" s="65" t="s">
        <v>371</v>
      </c>
      <c r="C20" s="65" t="s">
        <v>349</v>
      </c>
      <c r="D20" s="65" t="s">
        <v>361</v>
      </c>
      <c r="E20" s="65" t="s">
        <v>350</v>
      </c>
    </row>
    <row r="21" spans="1:5" ht="13" x14ac:dyDescent="0.3">
      <c r="A21" s="64" t="s">
        <v>2</v>
      </c>
      <c r="B21" s="65" t="s">
        <v>372</v>
      </c>
      <c r="C21" s="65" t="s">
        <v>349</v>
      </c>
      <c r="D21" s="65" t="s">
        <v>361</v>
      </c>
      <c r="E21" s="65" t="s">
        <v>350</v>
      </c>
    </row>
    <row r="22" spans="1:5" ht="13" x14ac:dyDescent="0.3">
      <c r="A22" s="64" t="s">
        <v>2</v>
      </c>
      <c r="B22" s="65" t="s">
        <v>373</v>
      </c>
      <c r="C22" s="65" t="s">
        <v>349</v>
      </c>
      <c r="D22" s="65" t="s">
        <v>361</v>
      </c>
      <c r="E22" s="65" t="s">
        <v>352</v>
      </c>
    </row>
    <row r="23" spans="1:5" ht="13" x14ac:dyDescent="0.3">
      <c r="A23" s="64" t="s">
        <v>2</v>
      </c>
      <c r="B23" s="65" t="s">
        <v>374</v>
      </c>
      <c r="C23" s="65" t="s">
        <v>347</v>
      </c>
      <c r="D23" s="65"/>
      <c r="E23" s="65" t="s">
        <v>350</v>
      </c>
    </row>
    <row r="24" spans="1:5" ht="13" x14ac:dyDescent="0.3">
      <c r="A24" s="64" t="s">
        <v>2</v>
      </c>
      <c r="B24" s="65" t="s">
        <v>375</v>
      </c>
      <c r="C24" s="65" t="s">
        <v>347</v>
      </c>
      <c r="D24" s="65"/>
      <c r="E24" s="65" t="s">
        <v>350</v>
      </c>
    </row>
    <row r="25" spans="1:5" ht="13" x14ac:dyDescent="0.3">
      <c r="A25" s="64" t="s">
        <v>2</v>
      </c>
      <c r="B25" s="65" t="s">
        <v>376</v>
      </c>
      <c r="C25" s="65" t="s">
        <v>347</v>
      </c>
      <c r="D25" s="65"/>
      <c r="E25" s="65" t="s">
        <v>352</v>
      </c>
    </row>
    <row r="26" spans="1:5" ht="13" x14ac:dyDescent="0.3">
      <c r="A26" s="64" t="s">
        <v>2</v>
      </c>
      <c r="B26" s="65" t="s">
        <v>377</v>
      </c>
      <c r="C26" s="65" t="s">
        <v>378</v>
      </c>
      <c r="D26" s="65"/>
      <c r="E26" s="65" t="s">
        <v>345</v>
      </c>
    </row>
    <row r="27" spans="1:5" ht="13" x14ac:dyDescent="0.3">
      <c r="A27" s="64" t="s">
        <v>2</v>
      </c>
      <c r="B27" s="65" t="s">
        <v>379</v>
      </c>
      <c r="C27" s="65" t="s">
        <v>354</v>
      </c>
      <c r="D27" s="65"/>
      <c r="E27" s="65" t="s">
        <v>352</v>
      </c>
    </row>
    <row r="28" spans="1:5" ht="13" x14ac:dyDescent="0.3">
      <c r="A28" s="64" t="s">
        <v>2</v>
      </c>
      <c r="B28" s="65" t="s">
        <v>380</v>
      </c>
      <c r="C28" s="65" t="s">
        <v>354</v>
      </c>
      <c r="D28" s="65"/>
      <c r="E28" s="65" t="s">
        <v>355</v>
      </c>
    </row>
    <row r="29" spans="1:5" ht="13" x14ac:dyDescent="0.3">
      <c r="A29" s="64" t="s">
        <v>67</v>
      </c>
      <c r="B29" s="65" t="s">
        <v>381</v>
      </c>
      <c r="C29" s="65" t="s">
        <v>343</v>
      </c>
      <c r="D29" s="65" t="s">
        <v>344</v>
      </c>
      <c r="E29" s="65" t="s">
        <v>345</v>
      </c>
    </row>
    <row r="30" spans="1:5" ht="13" x14ac:dyDescent="0.3">
      <c r="A30" s="64" t="s">
        <v>67</v>
      </c>
      <c r="B30" s="65" t="s">
        <v>382</v>
      </c>
      <c r="C30" s="65" t="s">
        <v>347</v>
      </c>
      <c r="D30" s="65"/>
      <c r="E30" s="65" t="s">
        <v>345</v>
      </c>
    </row>
    <row r="31" spans="1:5" ht="13" x14ac:dyDescent="0.3">
      <c r="A31" s="64" t="s">
        <v>67</v>
      </c>
      <c r="B31" s="65" t="s">
        <v>383</v>
      </c>
      <c r="C31" s="65" t="s">
        <v>349</v>
      </c>
      <c r="D31" s="65"/>
      <c r="E31" s="65" t="s">
        <v>350</v>
      </c>
    </row>
    <row r="32" spans="1:5" ht="13" x14ac:dyDescent="0.3">
      <c r="A32" s="64" t="s">
        <v>67</v>
      </c>
      <c r="B32" s="65" t="s">
        <v>384</v>
      </c>
      <c r="C32" s="65" t="s">
        <v>349</v>
      </c>
      <c r="D32" s="65"/>
      <c r="E32" s="65" t="s">
        <v>350</v>
      </c>
    </row>
    <row r="33" spans="1:5" ht="13" x14ac:dyDescent="0.3">
      <c r="A33" s="64" t="s">
        <v>67</v>
      </c>
      <c r="B33" s="65" t="s">
        <v>385</v>
      </c>
      <c r="C33" s="65" t="s">
        <v>349</v>
      </c>
      <c r="D33" s="65"/>
      <c r="E33" s="65" t="s">
        <v>352</v>
      </c>
    </row>
    <row r="34" spans="1:5" ht="13" x14ac:dyDescent="0.3">
      <c r="A34" s="64" t="s">
        <v>67</v>
      </c>
      <c r="B34" s="65" t="s">
        <v>386</v>
      </c>
      <c r="C34" s="65" t="s">
        <v>354</v>
      </c>
      <c r="D34" s="65"/>
      <c r="E34" s="65" t="s">
        <v>355</v>
      </c>
    </row>
    <row r="35" spans="1:5" ht="13" x14ac:dyDescent="0.3">
      <c r="A35" s="64" t="s">
        <v>71</v>
      </c>
      <c r="B35" s="65" t="s">
        <v>387</v>
      </c>
      <c r="C35" s="65" t="s">
        <v>349</v>
      </c>
      <c r="D35" s="65" t="s">
        <v>361</v>
      </c>
      <c r="E35" s="65" t="s">
        <v>345</v>
      </c>
    </row>
    <row r="36" spans="1:5" ht="13" x14ac:dyDescent="0.3">
      <c r="A36" s="64" t="s">
        <v>71</v>
      </c>
      <c r="B36" s="65" t="s">
        <v>388</v>
      </c>
      <c r="C36" s="65" t="s">
        <v>347</v>
      </c>
      <c r="D36" s="65"/>
      <c r="E36" s="65" t="s">
        <v>345</v>
      </c>
    </row>
    <row r="37" spans="1:5" ht="13" x14ac:dyDescent="0.3">
      <c r="A37" s="64" t="s">
        <v>71</v>
      </c>
      <c r="B37" s="65" t="s">
        <v>389</v>
      </c>
      <c r="C37" s="65" t="s">
        <v>347</v>
      </c>
      <c r="D37" s="65"/>
      <c r="E37" s="65" t="s">
        <v>345</v>
      </c>
    </row>
    <row r="38" spans="1:5" ht="13" x14ac:dyDescent="0.3">
      <c r="A38" s="64" t="s">
        <v>71</v>
      </c>
      <c r="B38" s="65" t="s">
        <v>390</v>
      </c>
      <c r="C38" s="65" t="s">
        <v>391</v>
      </c>
      <c r="D38" s="65"/>
      <c r="E38" s="65" t="s">
        <v>357</v>
      </c>
    </row>
    <row r="39" spans="1:5" ht="13" x14ac:dyDescent="0.3">
      <c r="A39" s="64" t="s">
        <v>71</v>
      </c>
      <c r="B39" s="65" t="s">
        <v>392</v>
      </c>
      <c r="C39" s="65" t="s">
        <v>349</v>
      </c>
      <c r="D39" s="65"/>
      <c r="E39" s="65" t="s">
        <v>350</v>
      </c>
    </row>
    <row r="40" spans="1:5" ht="13" x14ac:dyDescent="0.3">
      <c r="A40" s="64" t="s">
        <v>71</v>
      </c>
      <c r="B40" s="65" t="s">
        <v>393</v>
      </c>
      <c r="C40" s="65" t="s">
        <v>354</v>
      </c>
      <c r="D40" s="65"/>
      <c r="E40" s="65" t="s">
        <v>355</v>
      </c>
    </row>
    <row r="41" spans="1:5" ht="13" x14ac:dyDescent="0.3">
      <c r="A41" s="64" t="s">
        <v>73</v>
      </c>
      <c r="B41" s="65" t="s">
        <v>394</v>
      </c>
      <c r="C41" s="65" t="s">
        <v>347</v>
      </c>
      <c r="D41" s="65"/>
      <c r="E41" s="65" t="s">
        <v>345</v>
      </c>
    </row>
    <row r="42" spans="1:5" ht="13" x14ac:dyDescent="0.3">
      <c r="A42" s="64" t="s">
        <v>395</v>
      </c>
      <c r="B42" s="65" t="s">
        <v>396</v>
      </c>
      <c r="C42" s="65" t="s">
        <v>347</v>
      </c>
      <c r="D42" s="65"/>
      <c r="E42" s="65" t="s">
        <v>345</v>
      </c>
    </row>
    <row r="43" spans="1:5" ht="13" x14ac:dyDescent="0.3">
      <c r="A43" s="64" t="s">
        <v>395</v>
      </c>
      <c r="B43" s="65" t="s">
        <v>397</v>
      </c>
      <c r="C43" s="65" t="s">
        <v>349</v>
      </c>
      <c r="D43" s="65"/>
      <c r="E43" s="65" t="s">
        <v>357</v>
      </c>
    </row>
    <row r="44" spans="1:5" ht="13" x14ac:dyDescent="0.3">
      <c r="A44" s="64" t="s">
        <v>75</v>
      </c>
      <c r="B44" s="65" t="s">
        <v>398</v>
      </c>
      <c r="C44" s="65" t="s">
        <v>349</v>
      </c>
      <c r="D44" s="65" t="s">
        <v>361</v>
      </c>
      <c r="E44" s="65" t="s">
        <v>350</v>
      </c>
    </row>
    <row r="45" spans="1:5" ht="13" x14ac:dyDescent="0.3">
      <c r="A45" s="64" t="s">
        <v>75</v>
      </c>
      <c r="B45" s="65" t="s">
        <v>399</v>
      </c>
      <c r="C45" s="65" t="s">
        <v>349</v>
      </c>
      <c r="D45" s="65" t="s">
        <v>361</v>
      </c>
      <c r="E45" s="65" t="s">
        <v>352</v>
      </c>
    </row>
    <row r="46" spans="1:5" ht="13" x14ac:dyDescent="0.3">
      <c r="A46" s="64" t="s">
        <v>75</v>
      </c>
      <c r="B46" s="65" t="s">
        <v>400</v>
      </c>
      <c r="C46" s="65" t="s">
        <v>347</v>
      </c>
      <c r="D46" s="65"/>
      <c r="E46" s="65" t="s">
        <v>350</v>
      </c>
    </row>
    <row r="47" spans="1:5" ht="13" x14ac:dyDescent="0.3">
      <c r="A47" s="64" t="s">
        <v>75</v>
      </c>
      <c r="B47" s="65" t="s">
        <v>401</v>
      </c>
      <c r="C47" s="65" t="s">
        <v>347</v>
      </c>
      <c r="D47" s="65"/>
      <c r="E47" s="65" t="s">
        <v>345</v>
      </c>
    </row>
    <row r="48" spans="1:5" ht="13" x14ac:dyDescent="0.3">
      <c r="A48" s="64" t="s">
        <v>75</v>
      </c>
      <c r="B48" s="65" t="s">
        <v>402</v>
      </c>
      <c r="C48" s="65" t="s">
        <v>347</v>
      </c>
      <c r="D48" s="65"/>
      <c r="E48" s="65" t="s">
        <v>352</v>
      </c>
    </row>
    <row r="49" spans="1:5" ht="13" x14ac:dyDescent="0.3">
      <c r="A49" s="64" t="s">
        <v>75</v>
      </c>
      <c r="B49" s="65" t="s">
        <v>403</v>
      </c>
      <c r="C49" s="65" t="s">
        <v>391</v>
      </c>
      <c r="D49" s="65"/>
      <c r="E49" s="65" t="s">
        <v>345</v>
      </c>
    </row>
    <row r="50" spans="1:5" ht="13" x14ac:dyDescent="0.3">
      <c r="A50" s="64" t="s">
        <v>75</v>
      </c>
      <c r="B50" s="65" t="s">
        <v>404</v>
      </c>
      <c r="C50" s="65" t="s">
        <v>354</v>
      </c>
      <c r="D50" s="65"/>
      <c r="E50" s="65" t="s">
        <v>352</v>
      </c>
    </row>
    <row r="51" spans="1:5" ht="13" x14ac:dyDescent="0.3">
      <c r="A51" s="64" t="s">
        <v>75</v>
      </c>
      <c r="B51" s="65" t="s">
        <v>405</v>
      </c>
      <c r="C51" s="65" t="s">
        <v>354</v>
      </c>
      <c r="D51" s="65"/>
      <c r="E51" s="65" t="s">
        <v>355</v>
      </c>
    </row>
    <row r="52" spans="1:5" ht="13" x14ac:dyDescent="0.3">
      <c r="A52" s="64" t="s">
        <v>77</v>
      </c>
      <c r="B52" s="65" t="s">
        <v>406</v>
      </c>
      <c r="C52" s="65" t="s">
        <v>349</v>
      </c>
      <c r="D52" s="65" t="s">
        <v>361</v>
      </c>
      <c r="E52" s="65" t="s">
        <v>407</v>
      </c>
    </row>
    <row r="53" spans="1:5" ht="13" x14ac:dyDescent="0.3">
      <c r="A53" s="64" t="s">
        <v>77</v>
      </c>
      <c r="B53" s="65" t="s">
        <v>408</v>
      </c>
      <c r="C53" s="65" t="s">
        <v>349</v>
      </c>
      <c r="D53" s="65" t="s">
        <v>361</v>
      </c>
      <c r="E53" s="65" t="s">
        <v>352</v>
      </c>
    </row>
    <row r="54" spans="1:5" ht="13" x14ac:dyDescent="0.3">
      <c r="A54" s="64" t="s">
        <v>77</v>
      </c>
      <c r="B54" s="65" t="s">
        <v>409</v>
      </c>
      <c r="C54" s="65" t="s">
        <v>347</v>
      </c>
      <c r="D54" s="65"/>
      <c r="E54" s="65" t="s">
        <v>350</v>
      </c>
    </row>
    <row r="55" spans="1:5" ht="13" x14ac:dyDescent="0.3">
      <c r="A55" s="64" t="s">
        <v>77</v>
      </c>
      <c r="B55" s="65" t="s">
        <v>410</v>
      </c>
      <c r="C55" s="65" t="s">
        <v>347</v>
      </c>
      <c r="D55" s="65"/>
      <c r="E55" s="65" t="s">
        <v>352</v>
      </c>
    </row>
    <row r="56" spans="1:5" ht="13" x14ac:dyDescent="0.3">
      <c r="A56" s="64" t="s">
        <v>77</v>
      </c>
      <c r="B56" s="65" t="s">
        <v>411</v>
      </c>
      <c r="C56" s="65" t="s">
        <v>378</v>
      </c>
      <c r="D56" s="65"/>
      <c r="E56" s="65" t="s">
        <v>345</v>
      </c>
    </row>
    <row r="57" spans="1:5" ht="13" x14ac:dyDescent="0.3">
      <c r="A57" s="64" t="s">
        <v>77</v>
      </c>
      <c r="B57" s="65" t="s">
        <v>412</v>
      </c>
      <c r="C57" s="65" t="s">
        <v>354</v>
      </c>
      <c r="D57" s="65"/>
      <c r="E57" s="65" t="s">
        <v>355</v>
      </c>
    </row>
    <row r="58" spans="1:5" ht="13" x14ac:dyDescent="0.3">
      <c r="A58" s="64" t="s">
        <v>81</v>
      </c>
      <c r="B58" s="65" t="s">
        <v>413</v>
      </c>
      <c r="C58" s="65" t="s">
        <v>349</v>
      </c>
      <c r="D58" s="65" t="s">
        <v>344</v>
      </c>
      <c r="E58" s="65" t="s">
        <v>357</v>
      </c>
    </row>
    <row r="59" spans="1:5" ht="13" x14ac:dyDescent="0.3">
      <c r="A59" s="64" t="s">
        <v>81</v>
      </c>
      <c r="B59" s="65" t="s">
        <v>414</v>
      </c>
      <c r="C59" s="65" t="s">
        <v>347</v>
      </c>
      <c r="D59" s="65"/>
      <c r="E59" s="65" t="s">
        <v>357</v>
      </c>
    </row>
    <row r="60" spans="1:5" ht="13" x14ac:dyDescent="0.3">
      <c r="A60" s="64" t="s">
        <v>83</v>
      </c>
      <c r="B60" s="65" t="s">
        <v>415</v>
      </c>
      <c r="C60" s="65" t="s">
        <v>349</v>
      </c>
      <c r="D60" s="65" t="s">
        <v>344</v>
      </c>
      <c r="E60" s="65" t="s">
        <v>357</v>
      </c>
    </row>
    <row r="61" spans="1:5" ht="13" x14ac:dyDescent="0.3">
      <c r="A61" s="64" t="s">
        <v>83</v>
      </c>
      <c r="B61" s="65" t="s">
        <v>416</v>
      </c>
      <c r="C61" s="65" t="s">
        <v>347</v>
      </c>
      <c r="D61" s="65"/>
      <c r="E61" s="65" t="s">
        <v>357</v>
      </c>
    </row>
    <row r="62" spans="1:5" ht="13" x14ac:dyDescent="0.3">
      <c r="A62" s="64" t="s">
        <v>85</v>
      </c>
      <c r="B62" s="65" t="s">
        <v>417</v>
      </c>
      <c r="C62" s="65" t="s">
        <v>343</v>
      </c>
      <c r="D62" s="65" t="s">
        <v>344</v>
      </c>
      <c r="E62" s="65" t="s">
        <v>345</v>
      </c>
    </row>
    <row r="63" spans="1:5" ht="13" x14ac:dyDescent="0.3">
      <c r="A63" s="64" t="s">
        <v>85</v>
      </c>
      <c r="B63" s="65" t="s">
        <v>418</v>
      </c>
      <c r="C63" s="65" t="s">
        <v>347</v>
      </c>
      <c r="D63" s="65"/>
      <c r="E63" s="65" t="s">
        <v>345</v>
      </c>
    </row>
    <row r="64" spans="1:5" ht="13" x14ac:dyDescent="0.3">
      <c r="A64" s="64" t="s">
        <v>85</v>
      </c>
      <c r="B64" s="65" t="s">
        <v>419</v>
      </c>
      <c r="C64" s="65" t="s">
        <v>378</v>
      </c>
      <c r="D64" s="65"/>
      <c r="E64" s="65" t="s">
        <v>345</v>
      </c>
    </row>
    <row r="65" spans="1:5" ht="13" x14ac:dyDescent="0.3">
      <c r="A65" s="64" t="s">
        <v>85</v>
      </c>
      <c r="B65" s="65" t="s">
        <v>420</v>
      </c>
      <c r="C65" s="65" t="s">
        <v>349</v>
      </c>
      <c r="D65" s="65"/>
      <c r="E65" s="65" t="s">
        <v>350</v>
      </c>
    </row>
    <row r="66" spans="1:5" ht="13" x14ac:dyDescent="0.3">
      <c r="A66" s="64" t="s">
        <v>85</v>
      </c>
      <c r="B66" s="65" t="s">
        <v>421</v>
      </c>
      <c r="C66" s="65" t="s">
        <v>349</v>
      </c>
      <c r="D66" s="65"/>
      <c r="E66" s="65" t="s">
        <v>350</v>
      </c>
    </row>
    <row r="67" spans="1:5" ht="13" x14ac:dyDescent="0.3">
      <c r="A67" s="64" t="s">
        <v>85</v>
      </c>
      <c r="B67" s="65" t="s">
        <v>422</v>
      </c>
      <c r="C67" s="65" t="s">
        <v>343</v>
      </c>
      <c r="D67" s="65"/>
      <c r="E67" s="65" t="s">
        <v>352</v>
      </c>
    </row>
    <row r="68" spans="1:5" ht="13" x14ac:dyDescent="0.3">
      <c r="A68" s="64" t="s">
        <v>85</v>
      </c>
      <c r="B68" s="65" t="s">
        <v>423</v>
      </c>
      <c r="C68" s="65" t="s">
        <v>354</v>
      </c>
      <c r="D68" s="65"/>
      <c r="E68" s="65" t="s">
        <v>352</v>
      </c>
    </row>
    <row r="69" spans="1:5" ht="13" x14ac:dyDescent="0.3">
      <c r="A69" s="64" t="s">
        <v>85</v>
      </c>
      <c r="B69" s="65" t="s">
        <v>424</v>
      </c>
      <c r="C69" s="65" t="s">
        <v>354</v>
      </c>
      <c r="D69" s="65"/>
      <c r="E69" s="65" t="s">
        <v>355</v>
      </c>
    </row>
    <row r="70" spans="1:5" ht="13" x14ac:dyDescent="0.3">
      <c r="A70" s="64" t="s">
        <v>87</v>
      </c>
      <c r="B70" s="65" t="s">
        <v>425</v>
      </c>
      <c r="C70" s="65" t="s">
        <v>343</v>
      </c>
      <c r="D70" s="65" t="s">
        <v>344</v>
      </c>
      <c r="E70" s="65" t="s">
        <v>345</v>
      </c>
    </row>
    <row r="71" spans="1:5" ht="13" x14ac:dyDescent="0.3">
      <c r="A71" s="64" t="s">
        <v>87</v>
      </c>
      <c r="B71" s="65" t="s">
        <v>426</v>
      </c>
      <c r="C71" s="65" t="s">
        <v>347</v>
      </c>
      <c r="D71" s="65"/>
      <c r="E71" s="65" t="s">
        <v>345</v>
      </c>
    </row>
    <row r="72" spans="1:5" ht="13" x14ac:dyDescent="0.3">
      <c r="A72" s="64" t="s">
        <v>87</v>
      </c>
      <c r="B72" s="65" t="s">
        <v>427</v>
      </c>
      <c r="C72" s="65" t="s">
        <v>349</v>
      </c>
      <c r="D72" s="65"/>
      <c r="E72" s="65" t="s">
        <v>350</v>
      </c>
    </row>
    <row r="73" spans="1:5" ht="13" x14ac:dyDescent="0.3">
      <c r="A73" s="64" t="s">
        <v>87</v>
      </c>
      <c r="B73" s="65" t="s">
        <v>428</v>
      </c>
      <c r="C73" s="65" t="s">
        <v>349</v>
      </c>
      <c r="D73" s="65"/>
      <c r="E73" s="65" t="s">
        <v>350</v>
      </c>
    </row>
    <row r="74" spans="1:5" ht="13" x14ac:dyDescent="0.3">
      <c r="A74" s="64" t="s">
        <v>87</v>
      </c>
      <c r="B74" s="65" t="s">
        <v>429</v>
      </c>
      <c r="C74" s="65" t="s">
        <v>349</v>
      </c>
      <c r="D74" s="65"/>
      <c r="E74" s="65" t="s">
        <v>352</v>
      </c>
    </row>
    <row r="75" spans="1:5" ht="13" x14ac:dyDescent="0.3">
      <c r="A75" s="64" t="s">
        <v>87</v>
      </c>
      <c r="B75" s="65" t="s">
        <v>430</v>
      </c>
      <c r="C75" s="65" t="s">
        <v>354</v>
      </c>
      <c r="D75" s="65"/>
      <c r="E75" s="65" t="s">
        <v>355</v>
      </c>
    </row>
    <row r="76" spans="1:5" ht="13" x14ac:dyDescent="0.3">
      <c r="A76" s="64" t="s">
        <v>90</v>
      </c>
      <c r="B76" s="65" t="s">
        <v>431</v>
      </c>
      <c r="C76" s="65" t="s">
        <v>349</v>
      </c>
      <c r="D76" s="65" t="s">
        <v>361</v>
      </c>
      <c r="E76" s="65" t="s">
        <v>350</v>
      </c>
    </row>
    <row r="77" spans="1:5" ht="13" x14ac:dyDescent="0.3">
      <c r="A77" s="64" t="s">
        <v>90</v>
      </c>
      <c r="B77" s="65" t="s">
        <v>432</v>
      </c>
      <c r="C77" s="65" t="s">
        <v>349</v>
      </c>
      <c r="D77" s="65" t="s">
        <v>361</v>
      </c>
      <c r="E77" s="65" t="s">
        <v>352</v>
      </c>
    </row>
    <row r="78" spans="1:5" ht="13" x14ac:dyDescent="0.3">
      <c r="A78" s="64" t="s">
        <v>90</v>
      </c>
      <c r="B78" s="65" t="s">
        <v>433</v>
      </c>
      <c r="C78" s="65" t="s">
        <v>347</v>
      </c>
      <c r="D78" s="65"/>
      <c r="E78" s="65" t="s">
        <v>350</v>
      </c>
    </row>
    <row r="79" spans="1:5" ht="13" x14ac:dyDescent="0.3">
      <c r="A79" s="64" t="s">
        <v>90</v>
      </c>
      <c r="B79" s="65" t="s">
        <v>434</v>
      </c>
      <c r="C79" s="65" t="s">
        <v>347</v>
      </c>
      <c r="D79" s="65"/>
      <c r="E79" s="65" t="s">
        <v>352</v>
      </c>
    </row>
    <row r="80" spans="1:5" ht="13" x14ac:dyDescent="0.3">
      <c r="A80" s="64" t="s">
        <v>90</v>
      </c>
      <c r="B80" s="65" t="s">
        <v>435</v>
      </c>
      <c r="C80" s="65" t="s">
        <v>378</v>
      </c>
      <c r="D80" s="65"/>
      <c r="E80" s="65" t="s">
        <v>345</v>
      </c>
    </row>
    <row r="81" spans="1:5" ht="13" x14ac:dyDescent="0.3">
      <c r="A81" s="64" t="s">
        <v>90</v>
      </c>
      <c r="B81" s="65" t="s">
        <v>436</v>
      </c>
      <c r="C81" s="65" t="s">
        <v>391</v>
      </c>
      <c r="D81" s="65"/>
      <c r="E81" s="65" t="s">
        <v>352</v>
      </c>
    </row>
    <row r="82" spans="1:5" ht="13" x14ac:dyDescent="0.3">
      <c r="A82" s="64" t="s">
        <v>90</v>
      </c>
      <c r="B82" s="65" t="s">
        <v>437</v>
      </c>
      <c r="C82" s="65" t="s">
        <v>354</v>
      </c>
      <c r="D82" s="65"/>
      <c r="E82" s="65" t="s">
        <v>352</v>
      </c>
    </row>
    <row r="83" spans="1:5" ht="13" x14ac:dyDescent="0.3">
      <c r="A83" s="64" t="s">
        <v>90</v>
      </c>
      <c r="B83" s="65" t="s">
        <v>438</v>
      </c>
      <c r="C83" s="65" t="s">
        <v>354</v>
      </c>
      <c r="D83" s="65"/>
      <c r="E83" s="65" t="s">
        <v>355</v>
      </c>
    </row>
    <row r="84" spans="1:5" ht="13" x14ac:dyDescent="0.3">
      <c r="A84" s="64" t="s">
        <v>92</v>
      </c>
      <c r="B84" s="65" t="s">
        <v>439</v>
      </c>
      <c r="C84" s="65" t="s">
        <v>440</v>
      </c>
      <c r="D84" s="65" t="s">
        <v>344</v>
      </c>
      <c r="E84" s="65" t="s">
        <v>350</v>
      </c>
    </row>
    <row r="85" spans="1:5" ht="13" x14ac:dyDescent="0.3">
      <c r="A85" s="64" t="s">
        <v>92</v>
      </c>
      <c r="B85" s="65" t="s">
        <v>441</v>
      </c>
      <c r="C85" s="65" t="s">
        <v>440</v>
      </c>
      <c r="D85" s="65" t="s">
        <v>344</v>
      </c>
      <c r="E85" s="65" t="s">
        <v>357</v>
      </c>
    </row>
    <row r="86" spans="1:5" ht="13" x14ac:dyDescent="0.3">
      <c r="A86" s="64" t="s">
        <v>92</v>
      </c>
      <c r="B86" s="65" t="s">
        <v>442</v>
      </c>
      <c r="C86" s="65" t="s">
        <v>347</v>
      </c>
      <c r="D86" s="65"/>
      <c r="E86" s="65" t="s">
        <v>357</v>
      </c>
    </row>
    <row r="87" spans="1:5" ht="13" x14ac:dyDescent="0.3">
      <c r="A87" s="64" t="s">
        <v>92</v>
      </c>
      <c r="B87" s="65" t="s">
        <v>443</v>
      </c>
      <c r="C87" s="65" t="s">
        <v>354</v>
      </c>
      <c r="D87" s="65"/>
      <c r="E87" s="65" t="s">
        <v>352</v>
      </c>
    </row>
    <row r="88" spans="1:5" ht="13" x14ac:dyDescent="0.3">
      <c r="A88" s="64" t="s">
        <v>92</v>
      </c>
      <c r="B88" s="65" t="s">
        <v>444</v>
      </c>
      <c r="C88" s="65" t="s">
        <v>354</v>
      </c>
      <c r="D88" s="65"/>
      <c r="E88" s="65" t="s">
        <v>355</v>
      </c>
    </row>
    <row r="89" spans="1:5" ht="13" x14ac:dyDescent="0.3">
      <c r="A89" s="64" t="s">
        <v>94</v>
      </c>
      <c r="B89" s="65" t="s">
        <v>445</v>
      </c>
      <c r="C89" s="65" t="s">
        <v>343</v>
      </c>
      <c r="D89" s="65" t="s">
        <v>344</v>
      </c>
      <c r="E89" s="65" t="s">
        <v>345</v>
      </c>
    </row>
    <row r="90" spans="1:5" ht="13" x14ac:dyDescent="0.3">
      <c r="A90" s="64" t="s">
        <v>94</v>
      </c>
      <c r="B90" s="65" t="s">
        <v>446</v>
      </c>
      <c r="C90" s="65" t="s">
        <v>347</v>
      </c>
      <c r="D90" s="65"/>
      <c r="E90" s="65" t="s">
        <v>345</v>
      </c>
    </row>
    <row r="91" spans="1:5" ht="13" x14ac:dyDescent="0.3">
      <c r="A91" s="64" t="s">
        <v>94</v>
      </c>
      <c r="B91" s="65" t="s">
        <v>447</v>
      </c>
      <c r="C91" s="65" t="s">
        <v>378</v>
      </c>
      <c r="D91" s="65"/>
      <c r="E91" s="65" t="s">
        <v>345</v>
      </c>
    </row>
    <row r="92" spans="1:5" ht="13" x14ac:dyDescent="0.3">
      <c r="A92" s="64" t="s">
        <v>94</v>
      </c>
      <c r="B92" s="65" t="s">
        <v>448</v>
      </c>
      <c r="C92" s="65" t="s">
        <v>349</v>
      </c>
      <c r="D92" s="65"/>
      <c r="E92" s="65" t="s">
        <v>352</v>
      </c>
    </row>
    <row r="93" spans="1:5" ht="13" x14ac:dyDescent="0.3">
      <c r="A93" s="64" t="s">
        <v>94</v>
      </c>
      <c r="B93" s="65" t="s">
        <v>449</v>
      </c>
      <c r="C93" s="65" t="s">
        <v>354</v>
      </c>
      <c r="D93" s="65"/>
      <c r="E93" s="65" t="s">
        <v>355</v>
      </c>
    </row>
    <row r="94" spans="1:5" ht="13" x14ac:dyDescent="0.3">
      <c r="A94" s="64" t="s">
        <v>96</v>
      </c>
      <c r="B94" s="65" t="s">
        <v>450</v>
      </c>
      <c r="C94" s="65" t="s">
        <v>343</v>
      </c>
      <c r="D94" s="65" t="s">
        <v>344</v>
      </c>
      <c r="E94" s="65" t="s">
        <v>345</v>
      </c>
    </row>
    <row r="95" spans="1:5" ht="13" x14ac:dyDescent="0.3">
      <c r="A95" s="64" t="s">
        <v>96</v>
      </c>
      <c r="B95" s="65" t="s">
        <v>451</v>
      </c>
      <c r="C95" s="65" t="s">
        <v>347</v>
      </c>
      <c r="D95" s="65"/>
      <c r="E95" s="65" t="s">
        <v>345</v>
      </c>
    </row>
    <row r="96" spans="1:5" ht="13" x14ac:dyDescent="0.3">
      <c r="A96" s="64" t="s">
        <v>96</v>
      </c>
      <c r="B96" s="65" t="s">
        <v>452</v>
      </c>
      <c r="C96" s="65" t="s">
        <v>349</v>
      </c>
      <c r="D96" s="65"/>
      <c r="E96" s="65" t="s">
        <v>350</v>
      </c>
    </row>
    <row r="97" spans="1:5" ht="13" x14ac:dyDescent="0.3">
      <c r="A97" s="64" t="s">
        <v>96</v>
      </c>
      <c r="B97" s="65" t="s">
        <v>453</v>
      </c>
      <c r="C97" s="65" t="s">
        <v>349</v>
      </c>
      <c r="D97" s="65"/>
      <c r="E97" s="65" t="s">
        <v>345</v>
      </c>
    </row>
    <row r="98" spans="1:5" ht="13" x14ac:dyDescent="0.3">
      <c r="A98" s="64" t="s">
        <v>96</v>
      </c>
      <c r="B98" s="65" t="s">
        <v>454</v>
      </c>
      <c r="C98" s="65" t="s">
        <v>349</v>
      </c>
      <c r="D98" s="65"/>
      <c r="E98" s="65" t="s">
        <v>345</v>
      </c>
    </row>
    <row r="99" spans="1:5" ht="13" x14ac:dyDescent="0.3">
      <c r="A99" s="64" t="s">
        <v>96</v>
      </c>
      <c r="B99" s="65" t="s">
        <v>455</v>
      </c>
      <c r="C99" s="65" t="s">
        <v>349</v>
      </c>
      <c r="D99" s="65"/>
      <c r="E99" s="65" t="s">
        <v>352</v>
      </c>
    </row>
    <row r="100" spans="1:5" ht="13" x14ac:dyDescent="0.3">
      <c r="A100" s="64" t="s">
        <v>96</v>
      </c>
      <c r="B100" s="65" t="s">
        <v>456</v>
      </c>
      <c r="C100" s="65" t="s">
        <v>354</v>
      </c>
      <c r="D100" s="65"/>
      <c r="E100" s="65" t="s">
        <v>355</v>
      </c>
    </row>
    <row r="101" spans="1:5" ht="13" x14ac:dyDescent="0.3">
      <c r="A101" s="64" t="s">
        <v>98</v>
      </c>
      <c r="B101" s="65" t="s">
        <v>457</v>
      </c>
      <c r="C101" s="65" t="s">
        <v>349</v>
      </c>
      <c r="D101" s="65" t="s">
        <v>361</v>
      </c>
      <c r="E101" s="65" t="s">
        <v>350</v>
      </c>
    </row>
    <row r="102" spans="1:5" ht="13" x14ac:dyDescent="0.3">
      <c r="A102" s="64" t="s">
        <v>98</v>
      </c>
      <c r="B102" s="65" t="s">
        <v>458</v>
      </c>
      <c r="C102" s="65" t="s">
        <v>349</v>
      </c>
      <c r="D102" s="65" t="s">
        <v>361</v>
      </c>
      <c r="E102" s="65" t="s">
        <v>352</v>
      </c>
    </row>
    <row r="103" spans="1:5" ht="13" x14ac:dyDescent="0.3">
      <c r="A103" s="64" t="s">
        <v>98</v>
      </c>
      <c r="B103" s="65" t="s">
        <v>459</v>
      </c>
      <c r="C103" s="65" t="s">
        <v>347</v>
      </c>
      <c r="D103" s="65"/>
      <c r="E103" s="65" t="s">
        <v>350</v>
      </c>
    </row>
    <row r="104" spans="1:5" ht="13" x14ac:dyDescent="0.3">
      <c r="A104" s="64" t="s">
        <v>98</v>
      </c>
      <c r="B104" s="65" t="s">
        <v>460</v>
      </c>
      <c r="C104" s="65" t="s">
        <v>347</v>
      </c>
      <c r="D104" s="65"/>
      <c r="E104" s="65" t="s">
        <v>352</v>
      </c>
    </row>
    <row r="105" spans="1:5" ht="13" x14ac:dyDescent="0.3">
      <c r="A105" s="64" t="s">
        <v>98</v>
      </c>
      <c r="B105" s="65" t="s">
        <v>461</v>
      </c>
      <c r="C105" s="65" t="s">
        <v>378</v>
      </c>
      <c r="D105" s="65"/>
      <c r="E105" s="65" t="s">
        <v>345</v>
      </c>
    </row>
    <row r="106" spans="1:5" ht="13" x14ac:dyDescent="0.3">
      <c r="A106" s="64" t="s">
        <v>98</v>
      </c>
      <c r="B106" s="65" t="s">
        <v>462</v>
      </c>
      <c r="C106" s="65" t="s">
        <v>354</v>
      </c>
      <c r="D106" s="65"/>
      <c r="E106" s="65" t="s">
        <v>355</v>
      </c>
    </row>
    <row r="107" spans="1:5" ht="13" x14ac:dyDescent="0.3">
      <c r="A107" s="64" t="s">
        <v>100</v>
      </c>
      <c r="B107" s="65" t="s">
        <v>463</v>
      </c>
      <c r="C107" s="65" t="s">
        <v>343</v>
      </c>
      <c r="D107" s="65" t="s">
        <v>344</v>
      </c>
      <c r="E107" s="65" t="s">
        <v>345</v>
      </c>
    </row>
    <row r="108" spans="1:5" ht="13" x14ac:dyDescent="0.3">
      <c r="A108" s="64" t="s">
        <v>100</v>
      </c>
      <c r="B108" s="65" t="s">
        <v>464</v>
      </c>
      <c r="C108" s="65" t="s">
        <v>347</v>
      </c>
      <c r="D108" s="65"/>
      <c r="E108" s="65" t="s">
        <v>345</v>
      </c>
    </row>
    <row r="109" spans="1:5" ht="13" x14ac:dyDescent="0.3">
      <c r="A109" s="64" t="s">
        <v>100</v>
      </c>
      <c r="B109" s="65" t="s">
        <v>465</v>
      </c>
      <c r="C109" s="65" t="s">
        <v>349</v>
      </c>
      <c r="D109" s="65"/>
      <c r="E109" s="65" t="s">
        <v>350</v>
      </c>
    </row>
    <row r="110" spans="1:5" ht="13" x14ac:dyDescent="0.3">
      <c r="A110" s="64" t="s">
        <v>100</v>
      </c>
      <c r="B110" s="65" t="s">
        <v>466</v>
      </c>
      <c r="C110" s="65" t="s">
        <v>354</v>
      </c>
      <c r="D110" s="65"/>
      <c r="E110" s="65" t="s">
        <v>352</v>
      </c>
    </row>
    <row r="111" spans="1:5" ht="13" x14ac:dyDescent="0.3">
      <c r="A111" s="64" t="s">
        <v>100</v>
      </c>
      <c r="B111" s="65" t="s">
        <v>467</v>
      </c>
      <c r="C111" s="65" t="s">
        <v>354</v>
      </c>
      <c r="D111" s="65"/>
      <c r="E111" s="65" t="s">
        <v>355</v>
      </c>
    </row>
    <row r="112" spans="1:5" ht="13" x14ac:dyDescent="0.3">
      <c r="A112" s="64" t="s">
        <v>104</v>
      </c>
      <c r="B112" s="65" t="s">
        <v>468</v>
      </c>
      <c r="C112" s="65" t="s">
        <v>343</v>
      </c>
      <c r="D112" s="65" t="s">
        <v>344</v>
      </c>
      <c r="E112" s="65" t="s">
        <v>357</v>
      </c>
    </row>
    <row r="113" spans="1:5" ht="13" x14ac:dyDescent="0.3">
      <c r="A113" s="64" t="s">
        <v>104</v>
      </c>
      <c r="B113" s="65" t="s">
        <v>469</v>
      </c>
      <c r="C113" s="65" t="s">
        <v>347</v>
      </c>
      <c r="D113" s="65"/>
      <c r="E113" s="65" t="s">
        <v>357</v>
      </c>
    </row>
    <row r="114" spans="1:5" ht="13" x14ac:dyDescent="0.3">
      <c r="A114" s="64" t="s">
        <v>104</v>
      </c>
      <c r="B114" s="65" t="s">
        <v>470</v>
      </c>
      <c r="C114" s="65" t="s">
        <v>349</v>
      </c>
      <c r="D114" s="65"/>
      <c r="E114" s="65" t="s">
        <v>350</v>
      </c>
    </row>
    <row r="115" spans="1:5" ht="13" x14ac:dyDescent="0.3">
      <c r="A115" s="64" t="s">
        <v>104</v>
      </c>
      <c r="B115" s="65" t="s">
        <v>471</v>
      </c>
      <c r="C115" s="65" t="s">
        <v>354</v>
      </c>
      <c r="D115" s="65"/>
      <c r="E115" s="65" t="s">
        <v>352</v>
      </c>
    </row>
    <row r="116" spans="1:5" ht="13" x14ac:dyDescent="0.3">
      <c r="A116" s="64" t="s">
        <v>104</v>
      </c>
      <c r="B116" s="65" t="s">
        <v>472</v>
      </c>
      <c r="C116" s="65" t="s">
        <v>354</v>
      </c>
      <c r="D116" s="65"/>
      <c r="E116" s="65" t="s">
        <v>355</v>
      </c>
    </row>
    <row r="117" spans="1:5" ht="13" x14ac:dyDescent="0.3">
      <c r="A117" s="64" t="s">
        <v>107</v>
      </c>
      <c r="B117" s="65" t="s">
        <v>473</v>
      </c>
      <c r="C117" s="65" t="s">
        <v>347</v>
      </c>
      <c r="D117" s="65"/>
      <c r="E117" s="65" t="s">
        <v>345</v>
      </c>
    </row>
    <row r="118" spans="1:5" ht="13" x14ac:dyDescent="0.3">
      <c r="A118" s="64" t="s">
        <v>107</v>
      </c>
      <c r="B118" s="65" t="s">
        <v>474</v>
      </c>
      <c r="C118" s="65" t="s">
        <v>378</v>
      </c>
      <c r="D118" s="65"/>
      <c r="E118" s="65" t="s">
        <v>345</v>
      </c>
    </row>
    <row r="119" spans="1:5" ht="13" x14ac:dyDescent="0.3">
      <c r="A119" s="64" t="s">
        <v>107</v>
      </c>
      <c r="B119" s="65" t="s">
        <v>475</v>
      </c>
      <c r="C119" s="65" t="s">
        <v>349</v>
      </c>
      <c r="D119" s="65"/>
      <c r="E119" s="65" t="s">
        <v>350</v>
      </c>
    </row>
    <row r="120" spans="1:5" ht="13" x14ac:dyDescent="0.3">
      <c r="A120" s="64" t="s">
        <v>107</v>
      </c>
      <c r="B120" s="65" t="s">
        <v>476</v>
      </c>
      <c r="C120" s="65" t="s">
        <v>354</v>
      </c>
      <c r="D120" s="65"/>
      <c r="E120" s="65" t="s">
        <v>350</v>
      </c>
    </row>
    <row r="121" spans="1:5" ht="13" x14ac:dyDescent="0.3">
      <c r="A121" s="64" t="s">
        <v>107</v>
      </c>
      <c r="B121" s="65" t="s">
        <v>477</v>
      </c>
      <c r="C121" s="65" t="s">
        <v>354</v>
      </c>
      <c r="D121" s="65"/>
      <c r="E121" s="65" t="s">
        <v>352</v>
      </c>
    </row>
    <row r="122" spans="1:5" ht="13" x14ac:dyDescent="0.3">
      <c r="A122" s="64" t="s">
        <v>107</v>
      </c>
      <c r="B122" s="65" t="s">
        <v>478</v>
      </c>
      <c r="C122" s="65" t="s">
        <v>354</v>
      </c>
      <c r="D122" s="65"/>
      <c r="E122" s="65" t="s">
        <v>355</v>
      </c>
    </row>
    <row r="123" spans="1:5" ht="13" x14ac:dyDescent="0.3">
      <c r="A123" s="64" t="s">
        <v>110</v>
      </c>
      <c r="B123" s="65" t="s">
        <v>479</v>
      </c>
      <c r="C123" s="65" t="s">
        <v>349</v>
      </c>
      <c r="D123" s="65" t="s">
        <v>361</v>
      </c>
      <c r="E123" s="65" t="s">
        <v>350</v>
      </c>
    </row>
    <row r="124" spans="1:5" ht="13" x14ac:dyDescent="0.3">
      <c r="A124" s="64" t="s">
        <v>110</v>
      </c>
      <c r="B124" s="65" t="s">
        <v>480</v>
      </c>
      <c r="C124" s="65" t="s">
        <v>349</v>
      </c>
      <c r="D124" s="65" t="s">
        <v>361</v>
      </c>
      <c r="E124" s="65" t="s">
        <v>357</v>
      </c>
    </row>
    <row r="125" spans="1:5" ht="13" x14ac:dyDescent="0.3">
      <c r="A125" s="64" t="s">
        <v>110</v>
      </c>
      <c r="B125" s="65" t="s">
        <v>481</v>
      </c>
      <c r="C125" s="65" t="s">
        <v>347</v>
      </c>
      <c r="D125" s="65"/>
      <c r="E125" s="65" t="s">
        <v>357</v>
      </c>
    </row>
    <row r="126" spans="1:5" ht="13" x14ac:dyDescent="0.3">
      <c r="A126" s="64" t="s">
        <v>110</v>
      </c>
      <c r="B126" s="65" t="s">
        <v>482</v>
      </c>
      <c r="C126" s="65" t="s">
        <v>347</v>
      </c>
      <c r="D126" s="65"/>
      <c r="E126" s="65" t="s">
        <v>345</v>
      </c>
    </row>
    <row r="127" spans="1:5" ht="13" x14ac:dyDescent="0.3">
      <c r="A127" s="64" t="s">
        <v>110</v>
      </c>
      <c r="B127" s="65" t="s">
        <v>483</v>
      </c>
      <c r="C127" s="65" t="s">
        <v>349</v>
      </c>
      <c r="D127" s="65"/>
      <c r="E127" s="65" t="s">
        <v>350</v>
      </c>
    </row>
    <row r="128" spans="1:5" ht="13" x14ac:dyDescent="0.3">
      <c r="A128" s="64" t="s">
        <v>110</v>
      </c>
      <c r="B128" s="65" t="s">
        <v>484</v>
      </c>
      <c r="C128" s="65" t="s">
        <v>354</v>
      </c>
      <c r="D128" s="65"/>
      <c r="E128" s="65" t="s">
        <v>355</v>
      </c>
    </row>
    <row r="129" spans="1:5" ht="13" x14ac:dyDescent="0.3">
      <c r="A129" s="64" t="s">
        <v>112</v>
      </c>
      <c r="B129" s="65" t="s">
        <v>485</v>
      </c>
      <c r="C129" s="65" t="s">
        <v>349</v>
      </c>
      <c r="D129" s="65" t="s">
        <v>361</v>
      </c>
      <c r="E129" s="65" t="s">
        <v>350</v>
      </c>
    </row>
    <row r="130" spans="1:5" ht="13" x14ac:dyDescent="0.3">
      <c r="A130" s="64" t="s">
        <v>112</v>
      </c>
      <c r="B130" s="65" t="s">
        <v>486</v>
      </c>
      <c r="C130" s="65" t="s">
        <v>343</v>
      </c>
      <c r="D130" s="65" t="s">
        <v>361</v>
      </c>
      <c r="E130" s="65" t="s">
        <v>352</v>
      </c>
    </row>
    <row r="131" spans="1:5" ht="13" x14ac:dyDescent="0.3">
      <c r="A131" s="64" t="s">
        <v>112</v>
      </c>
      <c r="B131" s="65" t="s">
        <v>487</v>
      </c>
      <c r="C131" s="65" t="s">
        <v>347</v>
      </c>
      <c r="D131" s="65"/>
      <c r="E131" s="65" t="s">
        <v>350</v>
      </c>
    </row>
    <row r="132" spans="1:5" ht="13" x14ac:dyDescent="0.3">
      <c r="A132" s="64" t="s">
        <v>112</v>
      </c>
      <c r="B132" s="65" t="s">
        <v>488</v>
      </c>
      <c r="C132" s="65" t="s">
        <v>347</v>
      </c>
      <c r="D132" s="65"/>
      <c r="E132" s="65" t="s">
        <v>352</v>
      </c>
    </row>
    <row r="133" spans="1:5" ht="13" x14ac:dyDescent="0.3">
      <c r="A133" s="64" t="s">
        <v>112</v>
      </c>
      <c r="B133" s="65" t="s">
        <v>489</v>
      </c>
      <c r="C133" s="65" t="s">
        <v>378</v>
      </c>
      <c r="D133" s="65"/>
      <c r="E133" s="65" t="s">
        <v>345</v>
      </c>
    </row>
    <row r="134" spans="1:5" ht="13" x14ac:dyDescent="0.3">
      <c r="A134" s="64" t="s">
        <v>114</v>
      </c>
      <c r="B134" s="65" t="s">
        <v>490</v>
      </c>
      <c r="C134" s="65" t="s">
        <v>343</v>
      </c>
      <c r="D134" s="65" t="s">
        <v>344</v>
      </c>
      <c r="E134" s="65" t="s">
        <v>345</v>
      </c>
    </row>
    <row r="135" spans="1:5" ht="13" x14ac:dyDescent="0.3">
      <c r="A135" s="64" t="s">
        <v>114</v>
      </c>
      <c r="B135" s="65" t="s">
        <v>491</v>
      </c>
      <c r="C135" s="65" t="s">
        <v>347</v>
      </c>
      <c r="D135" s="65"/>
      <c r="E135" s="65" t="s">
        <v>345</v>
      </c>
    </row>
    <row r="136" spans="1:5" ht="13" x14ac:dyDescent="0.3">
      <c r="A136" s="64" t="s">
        <v>114</v>
      </c>
      <c r="B136" s="65" t="s">
        <v>492</v>
      </c>
      <c r="C136" s="65" t="s">
        <v>349</v>
      </c>
      <c r="D136" s="65"/>
      <c r="E136" s="65" t="s">
        <v>350</v>
      </c>
    </row>
    <row r="137" spans="1:5" ht="13" x14ac:dyDescent="0.3">
      <c r="A137" s="64" t="s">
        <v>114</v>
      </c>
      <c r="B137" s="65" t="s">
        <v>493</v>
      </c>
      <c r="C137" s="65" t="s">
        <v>354</v>
      </c>
      <c r="D137" s="65"/>
      <c r="E137" s="65" t="s">
        <v>350</v>
      </c>
    </row>
    <row r="138" spans="1:5" ht="13" x14ac:dyDescent="0.3">
      <c r="A138" s="64" t="s">
        <v>114</v>
      </c>
      <c r="B138" s="65" t="s">
        <v>494</v>
      </c>
      <c r="C138" s="65" t="s">
        <v>354</v>
      </c>
      <c r="D138" s="65"/>
      <c r="E138" s="65" t="s">
        <v>352</v>
      </c>
    </row>
    <row r="139" spans="1:5" ht="13" x14ac:dyDescent="0.3">
      <c r="A139" s="64" t="s">
        <v>114</v>
      </c>
      <c r="B139" s="65" t="s">
        <v>495</v>
      </c>
      <c r="C139" s="65" t="s">
        <v>354</v>
      </c>
      <c r="D139" s="65"/>
      <c r="E139" s="65" t="s">
        <v>355</v>
      </c>
    </row>
    <row r="140" spans="1:5" ht="13" x14ac:dyDescent="0.3">
      <c r="A140" s="64" t="s">
        <v>116</v>
      </c>
      <c r="B140" s="65" t="s">
        <v>496</v>
      </c>
      <c r="C140" s="65" t="s">
        <v>440</v>
      </c>
      <c r="D140" s="65" t="s">
        <v>344</v>
      </c>
      <c r="E140" s="65" t="s">
        <v>357</v>
      </c>
    </row>
    <row r="141" spans="1:5" ht="13" x14ac:dyDescent="0.3">
      <c r="A141" s="64" t="s">
        <v>116</v>
      </c>
      <c r="B141" s="65" t="s">
        <v>497</v>
      </c>
      <c r="C141" s="65" t="s">
        <v>440</v>
      </c>
      <c r="D141" s="65" t="s">
        <v>344</v>
      </c>
      <c r="E141" s="65" t="s">
        <v>352</v>
      </c>
    </row>
    <row r="142" spans="1:5" ht="13" x14ac:dyDescent="0.3">
      <c r="A142" s="64" t="s">
        <v>116</v>
      </c>
      <c r="B142" s="65" t="s">
        <v>498</v>
      </c>
      <c r="C142" s="65" t="s">
        <v>347</v>
      </c>
      <c r="D142" s="65"/>
      <c r="E142" s="65" t="s">
        <v>357</v>
      </c>
    </row>
    <row r="143" spans="1:5" ht="13" x14ac:dyDescent="0.3">
      <c r="A143" s="64" t="s">
        <v>119</v>
      </c>
      <c r="B143" s="65" t="s">
        <v>499</v>
      </c>
      <c r="C143" s="65" t="s">
        <v>343</v>
      </c>
      <c r="D143" s="65" t="s">
        <v>344</v>
      </c>
      <c r="E143" s="65" t="s">
        <v>345</v>
      </c>
    </row>
    <row r="144" spans="1:5" ht="13" x14ac:dyDescent="0.3">
      <c r="A144" s="64" t="s">
        <v>119</v>
      </c>
      <c r="B144" s="65" t="s">
        <v>500</v>
      </c>
      <c r="C144" s="65" t="s">
        <v>347</v>
      </c>
      <c r="D144" s="65"/>
      <c r="E144" s="65" t="s">
        <v>357</v>
      </c>
    </row>
    <row r="145" spans="1:5" ht="13" x14ac:dyDescent="0.3">
      <c r="A145" s="64" t="s">
        <v>119</v>
      </c>
      <c r="B145" s="65" t="s">
        <v>501</v>
      </c>
      <c r="C145" s="65" t="s">
        <v>349</v>
      </c>
      <c r="D145" s="65"/>
      <c r="E145" s="65" t="s">
        <v>350</v>
      </c>
    </row>
    <row r="146" spans="1:5" ht="13" x14ac:dyDescent="0.3">
      <c r="A146" s="64" t="s">
        <v>119</v>
      </c>
      <c r="B146" s="65" t="s">
        <v>502</v>
      </c>
      <c r="C146" s="65" t="s">
        <v>349</v>
      </c>
      <c r="D146" s="65"/>
      <c r="E146" s="65" t="s">
        <v>350</v>
      </c>
    </row>
    <row r="147" spans="1:5" ht="13" x14ac:dyDescent="0.3">
      <c r="A147" s="64" t="s">
        <v>119</v>
      </c>
      <c r="B147" s="65" t="s">
        <v>503</v>
      </c>
      <c r="C147" s="65" t="s">
        <v>354</v>
      </c>
      <c r="D147" s="65"/>
      <c r="E147" s="65" t="s">
        <v>352</v>
      </c>
    </row>
    <row r="148" spans="1:5" ht="13" x14ac:dyDescent="0.3">
      <c r="A148" s="64" t="s">
        <v>119</v>
      </c>
      <c r="B148" s="65" t="s">
        <v>504</v>
      </c>
      <c r="C148" s="65" t="s">
        <v>354</v>
      </c>
      <c r="D148" s="65"/>
      <c r="E148" s="65" t="s">
        <v>355</v>
      </c>
    </row>
    <row r="149" spans="1:5" ht="13" x14ac:dyDescent="0.3">
      <c r="A149" s="64" t="s">
        <v>121</v>
      </c>
      <c r="B149" s="65" t="s">
        <v>505</v>
      </c>
      <c r="C149" s="65" t="s">
        <v>349</v>
      </c>
      <c r="D149" s="65" t="s">
        <v>344</v>
      </c>
      <c r="E149" s="65" t="s">
        <v>345</v>
      </c>
    </row>
    <row r="150" spans="1:5" ht="13" x14ac:dyDescent="0.3">
      <c r="A150" s="64" t="s">
        <v>121</v>
      </c>
      <c r="B150" s="65" t="s">
        <v>506</v>
      </c>
      <c r="C150" s="65" t="s">
        <v>347</v>
      </c>
      <c r="D150" s="65"/>
      <c r="E150" s="65" t="s">
        <v>357</v>
      </c>
    </row>
    <row r="151" spans="1:5" ht="13" x14ac:dyDescent="0.3">
      <c r="A151" s="64" t="s">
        <v>123</v>
      </c>
      <c r="B151" s="65" t="s">
        <v>507</v>
      </c>
      <c r="C151" s="65" t="s">
        <v>349</v>
      </c>
      <c r="D151" s="65" t="s">
        <v>361</v>
      </c>
      <c r="E151" s="65" t="s">
        <v>350</v>
      </c>
    </row>
    <row r="152" spans="1:5" ht="13" x14ac:dyDescent="0.3">
      <c r="A152" s="64" t="s">
        <v>123</v>
      </c>
      <c r="B152" s="65" t="s">
        <v>508</v>
      </c>
      <c r="C152" s="65" t="s">
        <v>349</v>
      </c>
      <c r="D152" s="65" t="s">
        <v>361</v>
      </c>
      <c r="E152" s="65" t="s">
        <v>352</v>
      </c>
    </row>
    <row r="153" spans="1:5" ht="13" x14ac:dyDescent="0.3">
      <c r="A153" s="64" t="s">
        <v>123</v>
      </c>
      <c r="B153" s="65" t="s">
        <v>509</v>
      </c>
      <c r="C153" s="65" t="s">
        <v>347</v>
      </c>
      <c r="D153" s="65"/>
      <c r="E153" s="65" t="s">
        <v>350</v>
      </c>
    </row>
    <row r="154" spans="1:5" ht="13" x14ac:dyDescent="0.3">
      <c r="A154" s="64" t="s">
        <v>123</v>
      </c>
      <c r="B154" s="65" t="s">
        <v>510</v>
      </c>
      <c r="C154" s="65" t="s">
        <v>347</v>
      </c>
      <c r="D154" s="65"/>
      <c r="E154" s="65" t="s">
        <v>352</v>
      </c>
    </row>
    <row r="155" spans="1:5" ht="13" x14ac:dyDescent="0.3">
      <c r="A155" s="64" t="s">
        <v>123</v>
      </c>
      <c r="B155" s="65" t="s">
        <v>511</v>
      </c>
      <c r="C155" s="65" t="s">
        <v>347</v>
      </c>
      <c r="D155" s="65"/>
      <c r="E155" s="65" t="s">
        <v>345</v>
      </c>
    </row>
    <row r="156" spans="1:5" ht="13" x14ac:dyDescent="0.3">
      <c r="A156" s="64" t="s">
        <v>123</v>
      </c>
      <c r="B156" s="65" t="s">
        <v>512</v>
      </c>
      <c r="C156" s="65" t="s">
        <v>354</v>
      </c>
      <c r="D156" s="65"/>
      <c r="E156" s="65" t="s">
        <v>345</v>
      </c>
    </row>
    <row r="157" spans="1:5" ht="13" x14ac:dyDescent="0.3">
      <c r="A157" s="64" t="s">
        <v>125</v>
      </c>
      <c r="B157" s="65" t="s">
        <v>513</v>
      </c>
      <c r="C157" s="65" t="s">
        <v>347</v>
      </c>
      <c r="D157" s="65"/>
      <c r="E157" s="65" t="s">
        <v>345</v>
      </c>
    </row>
    <row r="158" spans="1:5" ht="13" x14ac:dyDescent="0.3">
      <c r="A158" s="64" t="s">
        <v>125</v>
      </c>
      <c r="B158" s="65" t="s">
        <v>514</v>
      </c>
      <c r="C158" s="65" t="s">
        <v>378</v>
      </c>
      <c r="D158" s="65"/>
      <c r="E158" s="65" t="s">
        <v>345</v>
      </c>
    </row>
    <row r="159" spans="1:5" ht="13" x14ac:dyDescent="0.3">
      <c r="A159" s="64" t="s">
        <v>125</v>
      </c>
      <c r="B159" s="65" t="s">
        <v>515</v>
      </c>
      <c r="C159" s="65" t="s">
        <v>391</v>
      </c>
      <c r="D159" s="65"/>
      <c r="E159" s="65" t="s">
        <v>345</v>
      </c>
    </row>
    <row r="160" spans="1:5" ht="13" x14ac:dyDescent="0.3">
      <c r="A160" s="64" t="s">
        <v>125</v>
      </c>
      <c r="B160" s="65" t="s">
        <v>516</v>
      </c>
      <c r="C160" s="65" t="s">
        <v>354</v>
      </c>
      <c r="D160" s="65"/>
      <c r="E160" s="65" t="s">
        <v>350</v>
      </c>
    </row>
    <row r="161" spans="1:5" ht="13" x14ac:dyDescent="0.3">
      <c r="A161" s="64" t="s">
        <v>125</v>
      </c>
      <c r="B161" s="65" t="s">
        <v>517</v>
      </c>
      <c r="C161" s="65" t="s">
        <v>354</v>
      </c>
      <c r="D161" s="65"/>
      <c r="E161" s="65" t="s">
        <v>352</v>
      </c>
    </row>
    <row r="162" spans="1:5" ht="13" x14ac:dyDescent="0.3">
      <c r="A162" s="64" t="s">
        <v>125</v>
      </c>
      <c r="B162" s="65" t="s">
        <v>518</v>
      </c>
      <c r="C162" s="65" t="s">
        <v>354</v>
      </c>
      <c r="D162" s="65"/>
      <c r="E162" s="65" t="s">
        <v>355</v>
      </c>
    </row>
    <row r="163" spans="1:5" ht="13" x14ac:dyDescent="0.3">
      <c r="A163" s="64" t="s">
        <v>128</v>
      </c>
      <c r="B163" s="65" t="s">
        <v>519</v>
      </c>
      <c r="C163" s="65" t="s">
        <v>343</v>
      </c>
      <c r="D163" s="65" t="s">
        <v>344</v>
      </c>
      <c r="E163" s="65" t="s">
        <v>345</v>
      </c>
    </row>
    <row r="164" spans="1:5" ht="13" x14ac:dyDescent="0.3">
      <c r="A164" s="64" t="s">
        <v>128</v>
      </c>
      <c r="B164" s="65" t="s">
        <v>520</v>
      </c>
      <c r="C164" s="65" t="s">
        <v>349</v>
      </c>
      <c r="D164" s="65"/>
      <c r="E164" s="65" t="s">
        <v>357</v>
      </c>
    </row>
    <row r="165" spans="1:5" ht="13" x14ac:dyDescent="0.3">
      <c r="A165" s="64" t="s">
        <v>128</v>
      </c>
      <c r="B165" s="65" t="s">
        <v>521</v>
      </c>
      <c r="C165" s="65" t="s">
        <v>349</v>
      </c>
      <c r="D165" s="65"/>
      <c r="E165" s="65" t="s">
        <v>357</v>
      </c>
    </row>
    <row r="166" spans="1:5" ht="13" x14ac:dyDescent="0.3">
      <c r="A166" s="64" t="s">
        <v>128</v>
      </c>
      <c r="B166" s="65" t="s">
        <v>522</v>
      </c>
      <c r="C166" s="65" t="s">
        <v>349</v>
      </c>
      <c r="D166" s="65"/>
      <c r="E166" s="65" t="s">
        <v>357</v>
      </c>
    </row>
    <row r="167" spans="1:5" ht="13" x14ac:dyDescent="0.3">
      <c r="A167" s="64" t="s">
        <v>128</v>
      </c>
      <c r="B167" s="65" t="s">
        <v>523</v>
      </c>
      <c r="C167" s="65" t="s">
        <v>354</v>
      </c>
      <c r="D167" s="65"/>
      <c r="E167" s="65" t="s">
        <v>350</v>
      </c>
    </row>
    <row r="168" spans="1:5" ht="13" x14ac:dyDescent="0.3">
      <c r="A168" s="64" t="s">
        <v>128</v>
      </c>
      <c r="B168" s="65" t="s">
        <v>524</v>
      </c>
      <c r="C168" s="65" t="s">
        <v>354</v>
      </c>
      <c r="D168" s="65"/>
      <c r="E168" s="65" t="s">
        <v>352</v>
      </c>
    </row>
    <row r="169" spans="1:5" ht="13" x14ac:dyDescent="0.3">
      <c r="A169" s="64" t="s">
        <v>130</v>
      </c>
      <c r="B169" s="65" t="s">
        <v>525</v>
      </c>
      <c r="C169" s="65" t="s">
        <v>349</v>
      </c>
      <c r="D169" s="65" t="s">
        <v>344</v>
      </c>
      <c r="E169" s="65" t="s">
        <v>345</v>
      </c>
    </row>
    <row r="170" spans="1:5" ht="13" x14ac:dyDescent="0.3">
      <c r="A170" s="64" t="s">
        <v>130</v>
      </c>
      <c r="B170" s="65" t="s">
        <v>526</v>
      </c>
      <c r="C170" s="65" t="s">
        <v>349</v>
      </c>
      <c r="D170" s="65" t="s">
        <v>361</v>
      </c>
      <c r="E170" s="65" t="s">
        <v>357</v>
      </c>
    </row>
    <row r="171" spans="1:5" ht="13" x14ac:dyDescent="0.3">
      <c r="A171" s="64" t="s">
        <v>130</v>
      </c>
      <c r="B171" s="65" t="s">
        <v>527</v>
      </c>
      <c r="C171" s="65" t="s">
        <v>349</v>
      </c>
      <c r="D171" s="65" t="s">
        <v>361</v>
      </c>
      <c r="E171" s="65" t="s">
        <v>345</v>
      </c>
    </row>
    <row r="172" spans="1:5" ht="13" x14ac:dyDescent="0.3">
      <c r="A172" s="64" t="s">
        <v>130</v>
      </c>
      <c r="B172" s="65" t="s">
        <v>528</v>
      </c>
      <c r="C172" s="65" t="s">
        <v>347</v>
      </c>
      <c r="D172" s="65"/>
      <c r="E172" s="65" t="s">
        <v>357</v>
      </c>
    </row>
    <row r="173" spans="1:5" ht="13" x14ac:dyDescent="0.3">
      <c r="A173" s="64" t="s">
        <v>130</v>
      </c>
      <c r="B173" s="65" t="s">
        <v>529</v>
      </c>
      <c r="C173" s="65" t="s">
        <v>347</v>
      </c>
      <c r="D173" s="65"/>
      <c r="E173" s="65" t="s">
        <v>357</v>
      </c>
    </row>
    <row r="174" spans="1:5" ht="13" x14ac:dyDescent="0.3">
      <c r="A174" s="64" t="s">
        <v>130</v>
      </c>
      <c r="B174" s="65" t="s">
        <v>530</v>
      </c>
      <c r="C174" s="65" t="s">
        <v>347</v>
      </c>
      <c r="D174" s="65"/>
      <c r="E174" s="65" t="s">
        <v>345</v>
      </c>
    </row>
    <row r="175" spans="1:5" ht="13" x14ac:dyDescent="0.3">
      <c r="A175" s="64" t="s">
        <v>130</v>
      </c>
      <c r="B175" s="65" t="s">
        <v>531</v>
      </c>
      <c r="C175" s="65" t="s">
        <v>378</v>
      </c>
      <c r="D175" s="65"/>
      <c r="E175" s="65" t="s">
        <v>345</v>
      </c>
    </row>
    <row r="176" spans="1:5" ht="13" x14ac:dyDescent="0.3">
      <c r="A176" s="64" t="s">
        <v>130</v>
      </c>
      <c r="B176" s="65" t="s">
        <v>532</v>
      </c>
      <c r="C176" s="65" t="s">
        <v>354</v>
      </c>
      <c r="D176" s="65"/>
      <c r="E176" s="65" t="s">
        <v>355</v>
      </c>
    </row>
    <row r="177" spans="1:5" ht="13" x14ac:dyDescent="0.3">
      <c r="A177" s="64" t="s">
        <v>134</v>
      </c>
      <c r="B177" s="65" t="s">
        <v>533</v>
      </c>
      <c r="C177" s="65" t="s">
        <v>349</v>
      </c>
      <c r="D177" s="65" t="s">
        <v>361</v>
      </c>
      <c r="E177" s="65" t="s">
        <v>350</v>
      </c>
    </row>
    <row r="178" spans="1:5" ht="13" x14ac:dyDescent="0.3">
      <c r="A178" s="64" t="s">
        <v>134</v>
      </c>
      <c r="B178" s="65" t="s">
        <v>534</v>
      </c>
      <c r="C178" s="65" t="s">
        <v>349</v>
      </c>
      <c r="D178" s="65" t="s">
        <v>361</v>
      </c>
      <c r="E178" s="65" t="s">
        <v>352</v>
      </c>
    </row>
    <row r="179" spans="1:5" ht="13" x14ac:dyDescent="0.3">
      <c r="A179" s="64" t="s">
        <v>134</v>
      </c>
      <c r="B179" s="65" t="s">
        <v>535</v>
      </c>
      <c r="C179" s="65" t="s">
        <v>347</v>
      </c>
      <c r="D179" s="65"/>
      <c r="E179" s="65" t="s">
        <v>350</v>
      </c>
    </row>
    <row r="180" spans="1:5" ht="13" x14ac:dyDescent="0.3">
      <c r="A180" s="64" t="s">
        <v>134</v>
      </c>
      <c r="B180" s="65" t="s">
        <v>536</v>
      </c>
      <c r="C180" s="65" t="s">
        <v>347</v>
      </c>
      <c r="D180" s="65"/>
      <c r="E180" s="65" t="s">
        <v>352</v>
      </c>
    </row>
    <row r="181" spans="1:5" ht="13" x14ac:dyDescent="0.3">
      <c r="A181" s="64" t="s">
        <v>134</v>
      </c>
      <c r="B181" s="65" t="s">
        <v>537</v>
      </c>
      <c r="C181" s="65" t="s">
        <v>378</v>
      </c>
      <c r="D181" s="65"/>
      <c r="E181" s="65" t="s">
        <v>345</v>
      </c>
    </row>
    <row r="182" spans="1:5" ht="13" x14ac:dyDescent="0.3">
      <c r="A182" s="64" t="s">
        <v>134</v>
      </c>
      <c r="B182" s="65" t="s">
        <v>538</v>
      </c>
      <c r="C182" s="65" t="s">
        <v>354</v>
      </c>
      <c r="D182" s="65"/>
      <c r="E182" s="65" t="s">
        <v>352</v>
      </c>
    </row>
    <row r="183" spans="1:5" ht="13" x14ac:dyDescent="0.3">
      <c r="A183" s="64" t="s">
        <v>134</v>
      </c>
      <c r="B183" s="65" t="s">
        <v>539</v>
      </c>
      <c r="C183" s="65" t="s">
        <v>354</v>
      </c>
      <c r="D183" s="65"/>
      <c r="E183" s="65" t="s">
        <v>355</v>
      </c>
    </row>
    <row r="184" spans="1:5" ht="13" x14ac:dyDescent="0.3">
      <c r="A184" s="64" t="s">
        <v>137</v>
      </c>
      <c r="B184" s="65" t="s">
        <v>540</v>
      </c>
      <c r="C184" s="65" t="s">
        <v>349</v>
      </c>
      <c r="D184" s="65" t="s">
        <v>344</v>
      </c>
      <c r="E184" s="65" t="s">
        <v>357</v>
      </c>
    </row>
    <row r="185" spans="1:5" ht="13" x14ac:dyDescent="0.3">
      <c r="A185" s="64" t="s">
        <v>137</v>
      </c>
      <c r="B185" s="65" t="s">
        <v>541</v>
      </c>
      <c r="C185" s="65" t="s">
        <v>347</v>
      </c>
      <c r="D185" s="65"/>
      <c r="E185" s="65" t="s">
        <v>357</v>
      </c>
    </row>
    <row r="186" spans="1:5" ht="13" x14ac:dyDescent="0.3">
      <c r="A186" s="64" t="s">
        <v>139</v>
      </c>
      <c r="B186" s="65" t="s">
        <v>542</v>
      </c>
      <c r="C186" s="65" t="s">
        <v>343</v>
      </c>
      <c r="D186" s="65" t="s">
        <v>344</v>
      </c>
      <c r="E186" s="65" t="s">
        <v>345</v>
      </c>
    </row>
    <row r="187" spans="1:5" ht="13" x14ac:dyDescent="0.3">
      <c r="A187" s="64" t="s">
        <v>139</v>
      </c>
      <c r="B187" s="65" t="s">
        <v>543</v>
      </c>
      <c r="C187" s="65" t="s">
        <v>391</v>
      </c>
      <c r="D187" s="65"/>
      <c r="E187" s="65" t="s">
        <v>357</v>
      </c>
    </row>
    <row r="188" spans="1:5" ht="13" x14ac:dyDescent="0.3">
      <c r="A188" s="64" t="s">
        <v>139</v>
      </c>
      <c r="B188" s="65" t="s">
        <v>544</v>
      </c>
      <c r="C188" s="65" t="s">
        <v>349</v>
      </c>
      <c r="D188" s="65"/>
      <c r="E188" s="65" t="s">
        <v>350</v>
      </c>
    </row>
    <row r="189" spans="1:5" ht="13" x14ac:dyDescent="0.3">
      <c r="A189" s="64" t="s">
        <v>139</v>
      </c>
      <c r="B189" s="65" t="s">
        <v>545</v>
      </c>
      <c r="C189" s="65" t="s">
        <v>349</v>
      </c>
      <c r="D189" s="65"/>
      <c r="E189" s="65" t="s">
        <v>350</v>
      </c>
    </row>
    <row r="190" spans="1:5" ht="13" x14ac:dyDescent="0.3">
      <c r="A190" s="64" t="s">
        <v>139</v>
      </c>
      <c r="B190" s="65" t="s">
        <v>546</v>
      </c>
      <c r="C190" s="65" t="s">
        <v>354</v>
      </c>
      <c r="D190" s="65"/>
      <c r="E190" s="65" t="s">
        <v>352</v>
      </c>
    </row>
    <row r="191" spans="1:5" ht="13" x14ac:dyDescent="0.3">
      <c r="A191" s="64" t="s">
        <v>139</v>
      </c>
      <c r="B191" s="65" t="s">
        <v>547</v>
      </c>
      <c r="C191" s="65" t="s">
        <v>354</v>
      </c>
      <c r="D191" s="65"/>
      <c r="E191" s="65" t="s">
        <v>355</v>
      </c>
    </row>
    <row r="192" spans="1:5" ht="13" x14ac:dyDescent="0.3">
      <c r="A192" s="64" t="s">
        <v>142</v>
      </c>
      <c r="B192" s="65" t="s">
        <v>548</v>
      </c>
      <c r="C192" s="65" t="s">
        <v>343</v>
      </c>
      <c r="D192" s="65" t="s">
        <v>344</v>
      </c>
      <c r="E192" s="65" t="s">
        <v>345</v>
      </c>
    </row>
    <row r="193" spans="1:5" ht="13" x14ac:dyDescent="0.3">
      <c r="A193" s="64" t="s">
        <v>142</v>
      </c>
      <c r="B193" s="65" t="s">
        <v>549</v>
      </c>
      <c r="C193" s="65" t="s">
        <v>347</v>
      </c>
      <c r="D193" s="65"/>
      <c r="E193" s="65" t="s">
        <v>345</v>
      </c>
    </row>
    <row r="194" spans="1:5" ht="13" x14ac:dyDescent="0.3">
      <c r="A194" s="64" t="s">
        <v>142</v>
      </c>
      <c r="B194" s="65" t="s">
        <v>550</v>
      </c>
      <c r="C194" s="65" t="s">
        <v>349</v>
      </c>
      <c r="D194" s="65"/>
      <c r="E194" s="65" t="s">
        <v>350</v>
      </c>
    </row>
    <row r="195" spans="1:5" ht="13" x14ac:dyDescent="0.3">
      <c r="A195" s="64" t="s">
        <v>142</v>
      </c>
      <c r="B195" s="65" t="s">
        <v>551</v>
      </c>
      <c r="C195" s="65" t="s">
        <v>349</v>
      </c>
      <c r="D195" s="65"/>
      <c r="E195" s="65" t="s">
        <v>350</v>
      </c>
    </row>
    <row r="196" spans="1:5" ht="13" x14ac:dyDescent="0.3">
      <c r="A196" s="64" t="s">
        <v>142</v>
      </c>
      <c r="B196" s="65" t="s">
        <v>552</v>
      </c>
      <c r="C196" s="65" t="s">
        <v>349</v>
      </c>
      <c r="D196" s="65"/>
      <c r="E196" s="65" t="s">
        <v>357</v>
      </c>
    </row>
    <row r="197" spans="1:5" ht="13" x14ac:dyDescent="0.3">
      <c r="A197" s="64" t="s">
        <v>142</v>
      </c>
      <c r="B197" s="65" t="s">
        <v>553</v>
      </c>
      <c r="C197" s="65" t="s">
        <v>354</v>
      </c>
      <c r="D197" s="65"/>
      <c r="E197" s="65" t="s">
        <v>355</v>
      </c>
    </row>
    <row r="198" spans="1:5" ht="13" x14ac:dyDescent="0.3">
      <c r="A198" s="64" t="s">
        <v>144</v>
      </c>
      <c r="B198" s="65" t="s">
        <v>554</v>
      </c>
      <c r="C198" s="65" t="s">
        <v>343</v>
      </c>
      <c r="D198" s="65" t="s">
        <v>344</v>
      </c>
      <c r="E198" s="65" t="s">
        <v>345</v>
      </c>
    </row>
    <row r="199" spans="1:5" ht="13" x14ac:dyDescent="0.3">
      <c r="A199" s="64" t="s">
        <v>144</v>
      </c>
      <c r="B199" s="65" t="s">
        <v>555</v>
      </c>
      <c r="C199" s="65" t="s">
        <v>347</v>
      </c>
      <c r="D199" s="65"/>
      <c r="E199" s="65" t="s">
        <v>345</v>
      </c>
    </row>
    <row r="200" spans="1:5" ht="13" x14ac:dyDescent="0.3">
      <c r="A200" s="64" t="s">
        <v>144</v>
      </c>
      <c r="B200" s="65" t="s">
        <v>556</v>
      </c>
      <c r="C200" s="65" t="s">
        <v>354</v>
      </c>
      <c r="D200" s="65"/>
      <c r="E200" s="65" t="s">
        <v>352</v>
      </c>
    </row>
    <row r="201" spans="1:5" ht="13" x14ac:dyDescent="0.3">
      <c r="A201" s="64" t="s">
        <v>144</v>
      </c>
      <c r="B201" s="65" t="s">
        <v>557</v>
      </c>
      <c r="C201" s="65" t="s">
        <v>354</v>
      </c>
      <c r="D201" s="65"/>
      <c r="E201" s="65" t="s">
        <v>355</v>
      </c>
    </row>
    <row r="202" spans="1:5" ht="13" x14ac:dyDescent="0.3">
      <c r="A202" s="64" t="s">
        <v>146</v>
      </c>
      <c r="B202" s="65" t="s">
        <v>558</v>
      </c>
      <c r="C202" s="65" t="s">
        <v>349</v>
      </c>
      <c r="D202" s="65" t="s">
        <v>361</v>
      </c>
      <c r="E202" s="65" t="s">
        <v>350</v>
      </c>
    </row>
    <row r="203" spans="1:5" ht="13" x14ac:dyDescent="0.3">
      <c r="A203" s="64" t="s">
        <v>146</v>
      </c>
      <c r="B203" s="65" t="s">
        <v>559</v>
      </c>
      <c r="C203" s="65" t="s">
        <v>347</v>
      </c>
      <c r="D203" s="65"/>
      <c r="E203" s="65" t="s">
        <v>350</v>
      </c>
    </row>
    <row r="204" spans="1:5" ht="13" x14ac:dyDescent="0.3">
      <c r="A204" s="64" t="s">
        <v>146</v>
      </c>
      <c r="B204" s="65" t="s">
        <v>560</v>
      </c>
      <c r="C204" s="65" t="s">
        <v>349</v>
      </c>
      <c r="D204" s="65"/>
      <c r="E204" s="65" t="s">
        <v>345</v>
      </c>
    </row>
    <row r="205" spans="1:5" ht="13" x14ac:dyDescent="0.3">
      <c r="A205" s="64" t="s">
        <v>146</v>
      </c>
      <c r="B205" s="65" t="s">
        <v>561</v>
      </c>
      <c r="C205" s="65" t="s">
        <v>378</v>
      </c>
      <c r="D205" s="65"/>
      <c r="E205" s="65" t="s">
        <v>345</v>
      </c>
    </row>
    <row r="206" spans="1:5" ht="13" x14ac:dyDescent="0.3">
      <c r="A206" s="64" t="s">
        <v>146</v>
      </c>
      <c r="B206" s="65" t="s">
        <v>562</v>
      </c>
      <c r="C206" s="65" t="s">
        <v>347</v>
      </c>
      <c r="D206" s="65"/>
      <c r="E206" s="65" t="s">
        <v>345</v>
      </c>
    </row>
    <row r="207" spans="1:5" ht="13" x14ac:dyDescent="0.3">
      <c r="A207" s="64" t="s">
        <v>146</v>
      </c>
      <c r="B207" s="65" t="s">
        <v>563</v>
      </c>
      <c r="C207" s="65" t="s">
        <v>349</v>
      </c>
      <c r="D207" s="65"/>
      <c r="E207" s="65" t="s">
        <v>350</v>
      </c>
    </row>
    <row r="208" spans="1:5" ht="13" x14ac:dyDescent="0.3">
      <c r="A208" s="64" t="s">
        <v>146</v>
      </c>
      <c r="B208" s="65" t="s">
        <v>564</v>
      </c>
      <c r="C208" s="65" t="s">
        <v>354</v>
      </c>
      <c r="D208" s="65"/>
      <c r="E208" s="65" t="s">
        <v>352</v>
      </c>
    </row>
    <row r="209" spans="1:5" ht="13" x14ac:dyDescent="0.3">
      <c r="A209" s="64" t="s">
        <v>146</v>
      </c>
      <c r="B209" s="65" t="s">
        <v>565</v>
      </c>
      <c r="C209" s="65" t="s">
        <v>354</v>
      </c>
      <c r="D209" s="65"/>
      <c r="E209" s="65" t="s">
        <v>355</v>
      </c>
    </row>
    <row r="210" spans="1:5" ht="13" x14ac:dyDescent="0.3">
      <c r="A210" s="64" t="s">
        <v>148</v>
      </c>
      <c r="B210" s="65" t="s">
        <v>566</v>
      </c>
      <c r="C210" s="65" t="s">
        <v>349</v>
      </c>
      <c r="D210" s="65" t="s">
        <v>361</v>
      </c>
      <c r="E210" s="65" t="s">
        <v>345</v>
      </c>
    </row>
    <row r="211" spans="1:5" ht="13" x14ac:dyDescent="0.3">
      <c r="A211" s="64" t="s">
        <v>148</v>
      </c>
      <c r="B211" s="65" t="s">
        <v>567</v>
      </c>
      <c r="C211" s="65" t="s">
        <v>347</v>
      </c>
      <c r="D211" s="65"/>
      <c r="E211" s="65" t="s">
        <v>357</v>
      </c>
    </row>
    <row r="212" spans="1:5" ht="13" x14ac:dyDescent="0.3">
      <c r="A212" s="64" t="s">
        <v>148</v>
      </c>
      <c r="B212" s="65" t="s">
        <v>568</v>
      </c>
      <c r="C212" s="65" t="s">
        <v>343</v>
      </c>
      <c r="D212" s="65"/>
      <c r="E212" s="65" t="s">
        <v>345</v>
      </c>
    </row>
    <row r="213" spans="1:5" ht="13" x14ac:dyDescent="0.3">
      <c r="A213" s="64" t="s">
        <v>148</v>
      </c>
      <c r="B213" s="65" t="s">
        <v>569</v>
      </c>
      <c r="C213" s="65" t="s">
        <v>354</v>
      </c>
      <c r="D213" s="65"/>
      <c r="E213" s="65" t="s">
        <v>355</v>
      </c>
    </row>
    <row r="214" spans="1:5" ht="13" x14ac:dyDescent="0.3">
      <c r="A214" s="64" t="s">
        <v>150</v>
      </c>
      <c r="B214" s="65" t="s">
        <v>570</v>
      </c>
      <c r="C214" s="65" t="s">
        <v>343</v>
      </c>
      <c r="D214" s="65" t="s">
        <v>344</v>
      </c>
      <c r="E214" s="65" t="s">
        <v>345</v>
      </c>
    </row>
    <row r="215" spans="1:5" ht="13" x14ac:dyDescent="0.3">
      <c r="A215" s="64" t="s">
        <v>150</v>
      </c>
      <c r="B215" s="65" t="s">
        <v>571</v>
      </c>
      <c r="C215" s="65" t="s">
        <v>347</v>
      </c>
      <c r="D215" s="65"/>
      <c r="E215" s="65" t="s">
        <v>357</v>
      </c>
    </row>
    <row r="216" spans="1:5" ht="13" x14ac:dyDescent="0.3">
      <c r="A216" s="64" t="s">
        <v>150</v>
      </c>
      <c r="B216" s="65" t="s">
        <v>572</v>
      </c>
      <c r="C216" s="65" t="s">
        <v>349</v>
      </c>
      <c r="D216" s="65"/>
      <c r="E216" s="65" t="s">
        <v>352</v>
      </c>
    </row>
    <row r="217" spans="1:5" ht="13" x14ac:dyDescent="0.3">
      <c r="A217" s="64" t="s">
        <v>150</v>
      </c>
      <c r="B217" s="65" t="s">
        <v>573</v>
      </c>
      <c r="C217" s="65" t="s">
        <v>354</v>
      </c>
      <c r="D217" s="65"/>
      <c r="E217" s="65" t="s">
        <v>352</v>
      </c>
    </row>
    <row r="218" spans="1:5" ht="13" x14ac:dyDescent="0.3">
      <c r="A218" s="64" t="s">
        <v>150</v>
      </c>
      <c r="B218" s="65" t="s">
        <v>574</v>
      </c>
      <c r="C218" s="65" t="s">
        <v>354</v>
      </c>
      <c r="D218" s="65"/>
      <c r="E218" s="65" t="s">
        <v>355</v>
      </c>
    </row>
    <row r="219" spans="1:5" ht="13" x14ac:dyDescent="0.3">
      <c r="A219" s="64" t="s">
        <v>153</v>
      </c>
      <c r="B219" s="65" t="s">
        <v>575</v>
      </c>
      <c r="C219" s="65" t="s">
        <v>349</v>
      </c>
      <c r="D219" s="65" t="s">
        <v>361</v>
      </c>
      <c r="E219" s="65" t="s">
        <v>350</v>
      </c>
    </row>
    <row r="220" spans="1:5" ht="13" x14ac:dyDescent="0.3">
      <c r="A220" s="64" t="s">
        <v>153</v>
      </c>
      <c r="B220" s="65" t="s">
        <v>576</v>
      </c>
      <c r="C220" s="65" t="s">
        <v>343</v>
      </c>
      <c r="D220" s="65" t="s">
        <v>361</v>
      </c>
      <c r="E220" s="65" t="s">
        <v>352</v>
      </c>
    </row>
    <row r="221" spans="1:5" ht="13" x14ac:dyDescent="0.3">
      <c r="A221" s="64" t="s">
        <v>153</v>
      </c>
      <c r="B221" s="65" t="s">
        <v>577</v>
      </c>
      <c r="C221" s="65" t="s">
        <v>347</v>
      </c>
      <c r="D221" s="65"/>
      <c r="E221" s="65" t="s">
        <v>350</v>
      </c>
    </row>
    <row r="222" spans="1:5" ht="13" x14ac:dyDescent="0.3">
      <c r="A222" s="64" t="s">
        <v>153</v>
      </c>
      <c r="B222" s="65" t="s">
        <v>578</v>
      </c>
      <c r="C222" s="65" t="s">
        <v>347</v>
      </c>
      <c r="D222" s="65"/>
      <c r="E222" s="65" t="s">
        <v>352</v>
      </c>
    </row>
    <row r="223" spans="1:5" ht="13" x14ac:dyDescent="0.3">
      <c r="A223" s="64" t="s">
        <v>155</v>
      </c>
      <c r="B223" s="65" t="s">
        <v>579</v>
      </c>
      <c r="C223" s="65" t="s">
        <v>343</v>
      </c>
      <c r="D223" s="65" t="s">
        <v>344</v>
      </c>
      <c r="E223" s="65" t="s">
        <v>345</v>
      </c>
    </row>
    <row r="224" spans="1:5" ht="13" x14ac:dyDescent="0.3">
      <c r="A224" s="64" t="s">
        <v>155</v>
      </c>
      <c r="B224" s="65" t="s">
        <v>580</v>
      </c>
      <c r="C224" s="65" t="s">
        <v>347</v>
      </c>
      <c r="D224" s="65"/>
      <c r="E224" s="65" t="s">
        <v>345</v>
      </c>
    </row>
    <row r="225" spans="1:5" ht="13" x14ac:dyDescent="0.3">
      <c r="A225" s="64" t="s">
        <v>155</v>
      </c>
      <c r="B225" s="65" t="s">
        <v>581</v>
      </c>
      <c r="C225" s="65" t="s">
        <v>378</v>
      </c>
      <c r="D225" s="65"/>
      <c r="E225" s="65" t="s">
        <v>345</v>
      </c>
    </row>
    <row r="226" spans="1:5" ht="13" x14ac:dyDescent="0.3">
      <c r="A226" s="64" t="s">
        <v>155</v>
      </c>
      <c r="B226" s="65" t="s">
        <v>582</v>
      </c>
      <c r="C226" s="65" t="s">
        <v>349</v>
      </c>
      <c r="D226" s="65"/>
      <c r="E226" s="65" t="s">
        <v>350</v>
      </c>
    </row>
    <row r="227" spans="1:5" ht="13" x14ac:dyDescent="0.3">
      <c r="A227" s="64" t="s">
        <v>155</v>
      </c>
      <c r="B227" s="65" t="s">
        <v>583</v>
      </c>
      <c r="C227" s="65" t="s">
        <v>349</v>
      </c>
      <c r="D227" s="65"/>
      <c r="E227" s="65" t="s">
        <v>352</v>
      </c>
    </row>
    <row r="228" spans="1:5" ht="11.5" customHeight="1" x14ac:dyDescent="0.3">
      <c r="A228" s="64" t="s">
        <v>155</v>
      </c>
      <c r="B228" s="65" t="s">
        <v>584</v>
      </c>
      <c r="C228" s="65" t="s">
        <v>354</v>
      </c>
      <c r="D228" s="65"/>
      <c r="E228" s="65" t="s">
        <v>355</v>
      </c>
    </row>
    <row r="229" spans="1:5" ht="13" x14ac:dyDescent="0.3">
      <c r="A229" s="64" t="s">
        <v>158</v>
      </c>
      <c r="B229" s="65" t="s">
        <v>585</v>
      </c>
      <c r="C229" s="65" t="s">
        <v>343</v>
      </c>
      <c r="D229" s="65" t="s">
        <v>344</v>
      </c>
      <c r="E229" s="65" t="s">
        <v>345</v>
      </c>
    </row>
    <row r="230" spans="1:5" ht="13" x14ac:dyDescent="0.3">
      <c r="A230" s="64" t="s">
        <v>158</v>
      </c>
      <c r="B230" s="65" t="s">
        <v>586</v>
      </c>
      <c r="C230" s="65" t="s">
        <v>347</v>
      </c>
      <c r="D230" s="65"/>
      <c r="E230" s="65" t="s">
        <v>345</v>
      </c>
    </row>
    <row r="231" spans="1:5" ht="13" x14ac:dyDescent="0.3">
      <c r="A231" s="64" t="s">
        <v>158</v>
      </c>
      <c r="B231" s="65" t="s">
        <v>587</v>
      </c>
      <c r="C231" s="65" t="s">
        <v>349</v>
      </c>
      <c r="D231" s="65"/>
      <c r="E231" s="65" t="s">
        <v>350</v>
      </c>
    </row>
    <row r="232" spans="1:5" ht="13" x14ac:dyDescent="0.3">
      <c r="A232" s="64" t="s">
        <v>158</v>
      </c>
      <c r="B232" s="65" t="s">
        <v>588</v>
      </c>
      <c r="C232" s="65" t="s">
        <v>349</v>
      </c>
      <c r="D232" s="65"/>
      <c r="E232" s="65" t="s">
        <v>350</v>
      </c>
    </row>
    <row r="233" spans="1:5" ht="13" x14ac:dyDescent="0.3">
      <c r="A233" s="64" t="s">
        <v>158</v>
      </c>
      <c r="B233" s="65" t="s">
        <v>589</v>
      </c>
      <c r="C233" s="65" t="s">
        <v>349</v>
      </c>
      <c r="D233" s="65"/>
      <c r="E233" s="65" t="s">
        <v>350</v>
      </c>
    </row>
    <row r="234" spans="1:5" ht="13" x14ac:dyDescent="0.3">
      <c r="A234" s="64" t="s">
        <v>158</v>
      </c>
      <c r="B234" s="65" t="s">
        <v>590</v>
      </c>
      <c r="C234" s="65" t="s">
        <v>349</v>
      </c>
      <c r="D234" s="65"/>
      <c r="E234" s="65" t="s">
        <v>350</v>
      </c>
    </row>
    <row r="235" spans="1:5" ht="13" x14ac:dyDescent="0.3">
      <c r="A235" s="64" t="s">
        <v>158</v>
      </c>
      <c r="B235" s="65" t="s">
        <v>591</v>
      </c>
      <c r="C235" s="65" t="s">
        <v>349</v>
      </c>
      <c r="D235" s="65"/>
      <c r="E235" s="65" t="s">
        <v>350</v>
      </c>
    </row>
    <row r="236" spans="1:5" ht="13" x14ac:dyDescent="0.3">
      <c r="A236" s="64" t="s">
        <v>158</v>
      </c>
      <c r="B236" s="65" t="s">
        <v>592</v>
      </c>
      <c r="C236" s="65" t="s">
        <v>349</v>
      </c>
      <c r="D236" s="65"/>
      <c r="E236" s="65" t="s">
        <v>352</v>
      </c>
    </row>
    <row r="237" spans="1:5" ht="13" x14ac:dyDescent="0.3">
      <c r="A237" s="64" t="s">
        <v>158</v>
      </c>
      <c r="B237" s="65" t="s">
        <v>593</v>
      </c>
      <c r="C237" s="65" t="s">
        <v>349</v>
      </c>
      <c r="D237" s="65"/>
      <c r="E237" s="65" t="s">
        <v>357</v>
      </c>
    </row>
    <row r="238" spans="1:5" ht="13" x14ac:dyDescent="0.3">
      <c r="A238" s="64" t="s">
        <v>158</v>
      </c>
      <c r="B238" s="65" t="s">
        <v>594</v>
      </c>
      <c r="C238" s="65" t="s">
        <v>349</v>
      </c>
      <c r="D238" s="65"/>
      <c r="E238" s="65" t="s">
        <v>352</v>
      </c>
    </row>
    <row r="239" spans="1:5" ht="13" x14ac:dyDescent="0.3">
      <c r="A239" s="64" t="s">
        <v>158</v>
      </c>
      <c r="B239" s="65" t="s">
        <v>595</v>
      </c>
      <c r="C239" s="65" t="s">
        <v>354</v>
      </c>
      <c r="D239" s="65"/>
      <c r="E239" s="65" t="s">
        <v>352</v>
      </c>
    </row>
    <row r="240" spans="1:5" ht="13" x14ac:dyDescent="0.3">
      <c r="A240" s="64" t="s">
        <v>158</v>
      </c>
      <c r="B240" s="65" t="s">
        <v>596</v>
      </c>
      <c r="C240" s="65" t="s">
        <v>354</v>
      </c>
      <c r="D240" s="65"/>
      <c r="E240" s="65" t="s">
        <v>350</v>
      </c>
    </row>
    <row r="241" spans="1:5" ht="13" x14ac:dyDescent="0.3">
      <c r="A241" s="64" t="s">
        <v>158</v>
      </c>
      <c r="B241" s="65" t="s">
        <v>597</v>
      </c>
      <c r="C241" s="65" t="s">
        <v>354</v>
      </c>
      <c r="D241" s="65"/>
      <c r="E241" s="65" t="s">
        <v>352</v>
      </c>
    </row>
    <row r="242" spans="1:5" ht="13" x14ac:dyDescent="0.3">
      <c r="A242" s="64" t="s">
        <v>158</v>
      </c>
      <c r="B242" s="65" t="s">
        <v>598</v>
      </c>
      <c r="C242" s="65" t="s">
        <v>354</v>
      </c>
      <c r="D242" s="65"/>
      <c r="E242" s="65" t="s">
        <v>355</v>
      </c>
    </row>
    <row r="243" spans="1:5" ht="13" x14ac:dyDescent="0.3">
      <c r="A243" s="64" t="s">
        <v>161</v>
      </c>
      <c r="B243" s="65" t="s">
        <v>599</v>
      </c>
      <c r="C243" s="65" t="s">
        <v>349</v>
      </c>
      <c r="D243" s="65" t="s">
        <v>344</v>
      </c>
      <c r="E243" s="65" t="s">
        <v>357</v>
      </c>
    </row>
    <row r="244" spans="1:5" ht="13" x14ac:dyDescent="0.3">
      <c r="A244" s="64" t="s">
        <v>161</v>
      </c>
      <c r="B244" s="65" t="s">
        <v>600</v>
      </c>
      <c r="C244" s="65" t="s">
        <v>347</v>
      </c>
      <c r="D244" s="65"/>
      <c r="E244" s="65" t="s">
        <v>357</v>
      </c>
    </row>
    <row r="245" spans="1:5" ht="13" x14ac:dyDescent="0.3">
      <c r="A245" s="64" t="s">
        <v>163</v>
      </c>
      <c r="B245" s="65" t="s">
        <v>601</v>
      </c>
      <c r="C245" s="65" t="s">
        <v>349</v>
      </c>
      <c r="D245" s="65" t="s">
        <v>361</v>
      </c>
      <c r="E245" s="65" t="s">
        <v>357</v>
      </c>
    </row>
    <row r="246" spans="1:5" ht="13" x14ac:dyDescent="0.3">
      <c r="A246" s="64" t="s">
        <v>163</v>
      </c>
      <c r="B246" s="65" t="s">
        <v>602</v>
      </c>
      <c r="C246" s="65" t="s">
        <v>347</v>
      </c>
      <c r="D246" s="65"/>
      <c r="E246" s="65" t="s">
        <v>357</v>
      </c>
    </row>
    <row r="247" spans="1:5" ht="13" x14ac:dyDescent="0.3">
      <c r="A247" s="64" t="s">
        <v>163</v>
      </c>
      <c r="B247" s="65" t="s">
        <v>603</v>
      </c>
      <c r="C247" s="65" t="s">
        <v>378</v>
      </c>
      <c r="D247" s="65"/>
      <c r="E247" s="65" t="s">
        <v>345</v>
      </c>
    </row>
    <row r="248" spans="1:5" ht="13" x14ac:dyDescent="0.3">
      <c r="A248" s="64" t="s">
        <v>163</v>
      </c>
      <c r="B248" s="65" t="s">
        <v>604</v>
      </c>
      <c r="C248" s="65" t="s">
        <v>354</v>
      </c>
      <c r="D248" s="65"/>
      <c r="E248" s="65" t="s">
        <v>355</v>
      </c>
    </row>
    <row r="249" spans="1:5" ht="13" x14ac:dyDescent="0.3">
      <c r="A249" s="64" t="s">
        <v>165</v>
      </c>
      <c r="B249" s="65" t="s">
        <v>605</v>
      </c>
      <c r="C249" s="65" t="s">
        <v>343</v>
      </c>
      <c r="D249" s="65" t="s">
        <v>344</v>
      </c>
      <c r="E249" s="65" t="s">
        <v>345</v>
      </c>
    </row>
    <row r="250" spans="1:5" ht="13" x14ac:dyDescent="0.3">
      <c r="A250" s="64" t="s">
        <v>165</v>
      </c>
      <c r="B250" s="65" t="s">
        <v>606</v>
      </c>
      <c r="C250" s="65" t="s">
        <v>347</v>
      </c>
      <c r="D250" s="65"/>
      <c r="E250" s="65" t="s">
        <v>345</v>
      </c>
    </row>
    <row r="251" spans="1:5" ht="13" x14ac:dyDescent="0.3">
      <c r="A251" s="64" t="s">
        <v>165</v>
      </c>
      <c r="B251" s="65" t="s">
        <v>607</v>
      </c>
      <c r="C251" s="65" t="s">
        <v>349</v>
      </c>
      <c r="D251" s="65"/>
      <c r="E251" s="65" t="s">
        <v>352</v>
      </c>
    </row>
    <row r="252" spans="1:5" ht="13" x14ac:dyDescent="0.3">
      <c r="A252" s="64" t="s">
        <v>165</v>
      </c>
      <c r="B252" s="65" t="s">
        <v>608</v>
      </c>
      <c r="C252" s="65" t="s">
        <v>354</v>
      </c>
      <c r="D252" s="65"/>
      <c r="E252" s="65" t="s">
        <v>355</v>
      </c>
    </row>
    <row r="253" spans="1:5" ht="13" x14ac:dyDescent="0.3">
      <c r="A253" s="64" t="s">
        <v>167</v>
      </c>
      <c r="B253" s="65" t="s">
        <v>609</v>
      </c>
      <c r="C253" s="65" t="s">
        <v>343</v>
      </c>
      <c r="D253" s="65" t="s">
        <v>344</v>
      </c>
      <c r="E253" s="65" t="s">
        <v>345</v>
      </c>
    </row>
    <row r="254" spans="1:5" ht="13" x14ac:dyDescent="0.3">
      <c r="A254" s="64" t="s">
        <v>167</v>
      </c>
      <c r="B254" s="65" t="s">
        <v>610</v>
      </c>
      <c r="C254" s="65" t="s">
        <v>347</v>
      </c>
      <c r="D254" s="65"/>
      <c r="E254" s="65" t="s">
        <v>345</v>
      </c>
    </row>
    <row r="255" spans="1:5" ht="13" x14ac:dyDescent="0.3">
      <c r="A255" s="64" t="s">
        <v>167</v>
      </c>
      <c r="B255" s="65" t="s">
        <v>611</v>
      </c>
      <c r="C255" s="65" t="s">
        <v>343</v>
      </c>
      <c r="D255" s="65"/>
      <c r="E255" s="65" t="s">
        <v>352</v>
      </c>
    </row>
    <row r="256" spans="1:5" ht="13" x14ac:dyDescent="0.3">
      <c r="A256" s="64" t="s">
        <v>167</v>
      </c>
      <c r="B256" s="65" t="s">
        <v>612</v>
      </c>
      <c r="C256" s="65" t="s">
        <v>349</v>
      </c>
      <c r="D256" s="65"/>
      <c r="E256" s="65" t="s">
        <v>350</v>
      </c>
    </row>
    <row r="257" spans="1:5" ht="13" x14ac:dyDescent="0.3">
      <c r="A257" s="64" t="s">
        <v>167</v>
      </c>
      <c r="B257" s="65" t="s">
        <v>613</v>
      </c>
      <c r="C257" s="65" t="s">
        <v>349</v>
      </c>
      <c r="D257" s="65"/>
      <c r="E257" s="65" t="s">
        <v>350</v>
      </c>
    </row>
    <row r="258" spans="1:5" ht="13" x14ac:dyDescent="0.3">
      <c r="A258" s="64" t="s">
        <v>167</v>
      </c>
      <c r="B258" s="65" t="s">
        <v>614</v>
      </c>
      <c r="C258" s="65" t="s">
        <v>354</v>
      </c>
      <c r="D258" s="65"/>
      <c r="E258" s="65" t="s">
        <v>350</v>
      </c>
    </row>
    <row r="259" spans="1:5" ht="13" x14ac:dyDescent="0.3">
      <c r="A259" s="64" t="s">
        <v>167</v>
      </c>
      <c r="B259" s="65" t="s">
        <v>615</v>
      </c>
      <c r="C259" s="65" t="s">
        <v>354</v>
      </c>
      <c r="D259" s="65"/>
      <c r="E259" s="65" t="s">
        <v>352</v>
      </c>
    </row>
    <row r="260" spans="1:5" ht="13" x14ac:dyDescent="0.3">
      <c r="A260" s="64" t="s">
        <v>167</v>
      </c>
      <c r="B260" s="65" t="s">
        <v>616</v>
      </c>
      <c r="C260" s="65" t="s">
        <v>354</v>
      </c>
      <c r="D260" s="65"/>
      <c r="E260" s="65" t="s">
        <v>355</v>
      </c>
    </row>
    <row r="261" spans="1:5" ht="13" x14ac:dyDescent="0.3">
      <c r="A261" s="64" t="s">
        <v>170</v>
      </c>
      <c r="B261" s="65" t="s">
        <v>617</v>
      </c>
      <c r="C261" s="65" t="s">
        <v>343</v>
      </c>
      <c r="D261" s="65" t="s">
        <v>361</v>
      </c>
      <c r="E261" s="65" t="s">
        <v>350</v>
      </c>
    </row>
    <row r="262" spans="1:5" ht="13" x14ac:dyDescent="0.3">
      <c r="A262" s="64" t="s">
        <v>170</v>
      </c>
      <c r="B262" s="65" t="s">
        <v>618</v>
      </c>
      <c r="C262" s="65" t="s">
        <v>343</v>
      </c>
      <c r="D262" s="65" t="s">
        <v>361</v>
      </c>
      <c r="E262" s="65" t="s">
        <v>352</v>
      </c>
    </row>
    <row r="263" spans="1:5" ht="13" x14ac:dyDescent="0.3">
      <c r="A263" s="64" t="s">
        <v>170</v>
      </c>
      <c r="B263" s="65" t="s">
        <v>619</v>
      </c>
      <c r="C263" s="65" t="s">
        <v>347</v>
      </c>
      <c r="D263" s="65"/>
      <c r="E263" s="65" t="s">
        <v>350</v>
      </c>
    </row>
    <row r="264" spans="1:5" ht="13" x14ac:dyDescent="0.3">
      <c r="A264" s="64" t="s">
        <v>170</v>
      </c>
      <c r="B264" s="65" t="s">
        <v>620</v>
      </c>
      <c r="C264" s="65" t="s">
        <v>347</v>
      </c>
      <c r="D264" s="65"/>
      <c r="E264" s="65" t="s">
        <v>352</v>
      </c>
    </row>
    <row r="265" spans="1:5" ht="13" x14ac:dyDescent="0.3">
      <c r="A265" s="64" t="s">
        <v>170</v>
      </c>
      <c r="B265" s="65" t="s">
        <v>621</v>
      </c>
      <c r="C265" s="65" t="s">
        <v>354</v>
      </c>
      <c r="D265" s="65"/>
      <c r="E265" s="65" t="s">
        <v>355</v>
      </c>
    </row>
    <row r="266" spans="1:5" ht="13" x14ac:dyDescent="0.3">
      <c r="A266" s="64" t="s">
        <v>173</v>
      </c>
      <c r="B266" s="65" t="s">
        <v>622</v>
      </c>
      <c r="C266" s="65" t="s">
        <v>349</v>
      </c>
      <c r="D266" s="65" t="s">
        <v>361</v>
      </c>
      <c r="E266" s="65" t="s">
        <v>357</v>
      </c>
    </row>
    <row r="267" spans="1:5" ht="13" x14ac:dyDescent="0.3">
      <c r="A267" s="64" t="s">
        <v>173</v>
      </c>
      <c r="B267" s="65" t="s">
        <v>623</v>
      </c>
      <c r="C267" s="65" t="s">
        <v>343</v>
      </c>
      <c r="D267" s="65" t="s">
        <v>361</v>
      </c>
      <c r="E267" s="65" t="s">
        <v>352</v>
      </c>
    </row>
    <row r="268" spans="1:5" ht="13" x14ac:dyDescent="0.3">
      <c r="A268" s="64" t="s">
        <v>173</v>
      </c>
      <c r="B268" s="65" t="s">
        <v>624</v>
      </c>
      <c r="C268" s="65" t="s">
        <v>347</v>
      </c>
      <c r="D268" s="65"/>
      <c r="E268" s="65" t="s">
        <v>357</v>
      </c>
    </row>
    <row r="269" spans="1:5" ht="13" x14ac:dyDescent="0.3">
      <c r="A269" s="64" t="s">
        <v>173</v>
      </c>
      <c r="B269" s="65" t="s">
        <v>625</v>
      </c>
      <c r="C269" s="65" t="s">
        <v>347</v>
      </c>
      <c r="D269" s="65"/>
      <c r="E269" s="65" t="s">
        <v>352</v>
      </c>
    </row>
    <row r="270" spans="1:5" ht="13" x14ac:dyDescent="0.3">
      <c r="A270" s="64" t="s">
        <v>173</v>
      </c>
      <c r="B270" s="65" t="s">
        <v>626</v>
      </c>
      <c r="C270" s="65" t="s">
        <v>378</v>
      </c>
      <c r="D270" s="65"/>
      <c r="E270" s="65" t="s">
        <v>345</v>
      </c>
    </row>
    <row r="271" spans="1:5" ht="13" x14ac:dyDescent="0.3">
      <c r="A271" s="64" t="s">
        <v>173</v>
      </c>
      <c r="B271" s="65" t="s">
        <v>627</v>
      </c>
      <c r="C271" s="65" t="s">
        <v>354</v>
      </c>
      <c r="D271" s="65"/>
      <c r="E271" s="65" t="s">
        <v>352</v>
      </c>
    </row>
    <row r="272" spans="1:5" ht="13" x14ac:dyDescent="0.3">
      <c r="A272" s="64" t="s">
        <v>173</v>
      </c>
      <c r="B272" s="65" t="s">
        <v>628</v>
      </c>
      <c r="C272" s="65" t="s">
        <v>354</v>
      </c>
      <c r="D272" s="65"/>
      <c r="E272" s="65" t="s">
        <v>355</v>
      </c>
    </row>
    <row r="273" spans="1:5" ht="13" x14ac:dyDescent="0.3">
      <c r="A273" s="64" t="s">
        <v>175</v>
      </c>
      <c r="B273" s="65" t="s">
        <v>629</v>
      </c>
      <c r="C273" s="65" t="s">
        <v>343</v>
      </c>
      <c r="D273" s="65" t="s">
        <v>361</v>
      </c>
      <c r="E273" s="65" t="s">
        <v>352</v>
      </c>
    </row>
    <row r="274" spans="1:5" ht="13" x14ac:dyDescent="0.3">
      <c r="A274" s="64" t="s">
        <v>175</v>
      </c>
      <c r="B274" s="65" t="s">
        <v>630</v>
      </c>
      <c r="C274" s="65" t="s">
        <v>347</v>
      </c>
      <c r="D274" s="65"/>
      <c r="E274" s="65" t="s">
        <v>352</v>
      </c>
    </row>
    <row r="275" spans="1:5" ht="13" x14ac:dyDescent="0.3">
      <c r="A275" s="64" t="s">
        <v>175</v>
      </c>
      <c r="B275" s="65" t="s">
        <v>631</v>
      </c>
      <c r="C275" s="65" t="s">
        <v>347</v>
      </c>
      <c r="D275" s="65"/>
      <c r="E275" s="65" t="s">
        <v>357</v>
      </c>
    </row>
    <row r="276" spans="1:5" ht="13" x14ac:dyDescent="0.3">
      <c r="A276" s="64" t="s">
        <v>175</v>
      </c>
      <c r="B276" s="65" t="s">
        <v>632</v>
      </c>
      <c r="C276" s="65" t="s">
        <v>349</v>
      </c>
      <c r="D276" s="65"/>
      <c r="E276" s="65" t="s">
        <v>350</v>
      </c>
    </row>
    <row r="277" spans="1:5" ht="13" x14ac:dyDescent="0.3">
      <c r="A277" s="64" t="s">
        <v>175</v>
      </c>
      <c r="B277" s="65" t="s">
        <v>633</v>
      </c>
      <c r="C277" s="65" t="s">
        <v>354</v>
      </c>
      <c r="D277" s="65"/>
      <c r="E277" s="65" t="s">
        <v>352</v>
      </c>
    </row>
    <row r="278" spans="1:5" ht="13" x14ac:dyDescent="0.3">
      <c r="A278" s="66"/>
      <c r="B278" s="66"/>
      <c r="C278" s="66"/>
      <c r="D278" s="66"/>
      <c r="E278" s="66"/>
    </row>
    <row r="279" spans="1:5" ht="13" x14ac:dyDescent="0.3">
      <c r="A279" s="66"/>
      <c r="B279" s="66"/>
      <c r="C279" s="66"/>
      <c r="D279" s="66"/>
      <c r="E279" s="66"/>
    </row>
    <row r="280" spans="1:5" ht="13" x14ac:dyDescent="0.3">
      <c r="A280" s="66"/>
      <c r="B280" s="66"/>
      <c r="C280" s="66"/>
      <c r="D280" s="66"/>
      <c r="E280" s="66"/>
    </row>
    <row r="281" spans="1:5" ht="13" x14ac:dyDescent="0.3">
      <c r="A281" s="66"/>
      <c r="B281" s="66"/>
      <c r="C281" s="66"/>
      <c r="D281" s="66"/>
      <c r="E281" s="66"/>
    </row>
    <row r="282" spans="1:5" ht="13" x14ac:dyDescent="0.3">
      <c r="A282" s="66"/>
      <c r="B282" s="66"/>
      <c r="C282" s="66"/>
      <c r="D282" s="66"/>
      <c r="E282" s="66"/>
    </row>
    <row r="283" spans="1:5" ht="13" x14ac:dyDescent="0.3">
      <c r="A283" s="66"/>
      <c r="B283" s="66"/>
      <c r="C283" s="66"/>
      <c r="D283" s="66"/>
      <c r="E283" s="66"/>
    </row>
    <row r="284" spans="1:5" ht="13" x14ac:dyDescent="0.3">
      <c r="A284" s="66"/>
      <c r="B284" s="66"/>
      <c r="C284" s="66"/>
      <c r="D284" s="66"/>
      <c r="E284" s="66"/>
    </row>
    <row r="285" spans="1:5" ht="13" x14ac:dyDescent="0.3">
      <c r="A285" s="66"/>
      <c r="B285" s="66"/>
      <c r="C285" s="66"/>
      <c r="D285" s="66"/>
      <c r="E285" s="66"/>
    </row>
    <row r="286" spans="1:5" ht="13" x14ac:dyDescent="0.3">
      <c r="A286" s="66"/>
      <c r="B286" s="66"/>
      <c r="C286" s="66"/>
      <c r="D286" s="66"/>
      <c r="E286" s="66"/>
    </row>
    <row r="287" spans="1:5" ht="13" x14ac:dyDescent="0.3">
      <c r="A287" s="66"/>
      <c r="B287" s="66"/>
      <c r="C287" s="66"/>
      <c r="D287" s="66"/>
      <c r="E287" s="66"/>
    </row>
    <row r="288" spans="1:5" ht="13" x14ac:dyDescent="0.3">
      <c r="A288" s="66"/>
      <c r="B288" s="66"/>
      <c r="C288" s="66"/>
      <c r="D288" s="66"/>
      <c r="E288" s="66"/>
    </row>
    <row r="289" spans="1:5" ht="13" x14ac:dyDescent="0.3">
      <c r="A289" s="66"/>
      <c r="B289" s="66"/>
      <c r="C289" s="66"/>
      <c r="D289" s="66"/>
      <c r="E289" s="66"/>
    </row>
    <row r="290" spans="1:5" ht="13" x14ac:dyDescent="0.3">
      <c r="A290" s="66"/>
      <c r="B290" s="66"/>
      <c r="C290" s="66"/>
      <c r="D290" s="66"/>
      <c r="E290" s="66"/>
    </row>
    <row r="291" spans="1:5" ht="13" x14ac:dyDescent="0.3">
      <c r="A291" s="66"/>
      <c r="B291" s="66"/>
      <c r="C291" s="66"/>
      <c r="D291" s="66"/>
      <c r="E291" s="66"/>
    </row>
    <row r="292" spans="1:5" ht="13" x14ac:dyDescent="0.3">
      <c r="A292" s="66"/>
      <c r="B292" s="66"/>
      <c r="C292" s="66"/>
      <c r="D292" s="66"/>
      <c r="E292" s="66"/>
    </row>
    <row r="293" spans="1:5" ht="13" x14ac:dyDescent="0.3">
      <c r="A293" s="66"/>
      <c r="B293" s="66"/>
      <c r="C293" s="66"/>
      <c r="D293" s="66"/>
      <c r="E293" s="66"/>
    </row>
    <row r="294" spans="1:5" ht="13" x14ac:dyDescent="0.3">
      <c r="A294" s="66"/>
      <c r="B294" s="66"/>
      <c r="C294" s="66"/>
      <c r="D294" s="66"/>
      <c r="E294" s="66"/>
    </row>
    <row r="295" spans="1:5" ht="13" x14ac:dyDescent="0.3">
      <c r="A295" s="66"/>
      <c r="B295" s="66"/>
      <c r="C295" s="66"/>
      <c r="D295" s="66"/>
      <c r="E295" s="66"/>
    </row>
    <row r="296" spans="1:5" ht="13" x14ac:dyDescent="0.3">
      <c r="A296" s="66"/>
      <c r="B296" s="66"/>
      <c r="C296" s="66"/>
      <c r="D296" s="66"/>
      <c r="E296" s="66"/>
    </row>
    <row r="297" spans="1:5" ht="13" x14ac:dyDescent="0.3">
      <c r="A297" s="66"/>
      <c r="B297" s="66"/>
      <c r="C297" s="66"/>
      <c r="D297" s="66"/>
      <c r="E297" s="66"/>
    </row>
    <row r="298" spans="1:5" ht="13" x14ac:dyDescent="0.3">
      <c r="A298" s="66"/>
      <c r="B298" s="66"/>
      <c r="C298" s="66"/>
      <c r="D298" s="66"/>
      <c r="E298" s="66"/>
    </row>
    <row r="299" spans="1:5" ht="13" x14ac:dyDescent="0.3">
      <c r="A299" s="66"/>
      <c r="B299" s="66"/>
      <c r="C299" s="66"/>
      <c r="D299" s="66"/>
      <c r="E299" s="66"/>
    </row>
    <row r="300" spans="1:5" ht="13" x14ac:dyDescent="0.3">
      <c r="A300" s="66"/>
      <c r="B300" s="66"/>
      <c r="C300" s="66"/>
      <c r="D300" s="66"/>
      <c r="E300" s="66"/>
    </row>
    <row r="301" spans="1:5" ht="13" x14ac:dyDescent="0.3">
      <c r="A301" s="66"/>
      <c r="B301" s="66"/>
      <c r="C301" s="66"/>
      <c r="D301" s="66"/>
      <c r="E301" s="66"/>
    </row>
    <row r="302" spans="1:5" ht="13" x14ac:dyDescent="0.3">
      <c r="A302" s="66"/>
      <c r="B302" s="66"/>
      <c r="C302" s="66"/>
      <c r="D302" s="66"/>
      <c r="E302" s="66"/>
    </row>
    <row r="303" spans="1:5" ht="13" x14ac:dyDescent="0.3">
      <c r="A303" s="66"/>
      <c r="B303" s="66"/>
      <c r="C303" s="66"/>
      <c r="D303" s="66"/>
      <c r="E303" s="66"/>
    </row>
    <row r="304" spans="1:5" ht="13" x14ac:dyDescent="0.3">
      <c r="A304" s="66"/>
      <c r="B304" s="66"/>
      <c r="C304" s="66"/>
      <c r="D304" s="66"/>
      <c r="E304" s="66"/>
    </row>
    <row r="305" spans="1:5" ht="13" x14ac:dyDescent="0.3">
      <c r="A305" s="66"/>
      <c r="B305" s="66"/>
      <c r="C305" s="66"/>
      <c r="D305" s="66"/>
      <c r="E305" s="66"/>
    </row>
    <row r="306" spans="1:5" ht="13" x14ac:dyDescent="0.3">
      <c r="A306" s="66"/>
      <c r="B306" s="66"/>
      <c r="C306" s="66"/>
      <c r="D306" s="66"/>
      <c r="E306" s="66"/>
    </row>
    <row r="307" spans="1:5" ht="13" x14ac:dyDescent="0.3">
      <c r="A307" s="66"/>
      <c r="B307" s="66"/>
      <c r="C307" s="66"/>
      <c r="D307" s="66"/>
      <c r="E307" s="66"/>
    </row>
    <row r="308" spans="1:5" ht="13" x14ac:dyDescent="0.3">
      <c r="A308" s="66"/>
      <c r="B308" s="66"/>
      <c r="C308" s="66"/>
      <c r="D308" s="66"/>
      <c r="E308" s="66"/>
    </row>
    <row r="309" spans="1:5" ht="13" x14ac:dyDescent="0.3">
      <c r="A309" s="66"/>
      <c r="B309" s="66"/>
      <c r="C309" s="66"/>
      <c r="D309" s="66"/>
      <c r="E309" s="66"/>
    </row>
    <row r="310" spans="1:5" ht="13" x14ac:dyDescent="0.3">
      <c r="A310" s="66"/>
      <c r="B310" s="66"/>
      <c r="C310" s="66"/>
      <c r="D310" s="66"/>
      <c r="E310" s="66"/>
    </row>
    <row r="311" spans="1:5" ht="13" x14ac:dyDescent="0.3">
      <c r="A311" s="66"/>
      <c r="B311" s="66"/>
      <c r="C311" s="66"/>
      <c r="D311" s="66"/>
      <c r="E311" s="66"/>
    </row>
    <row r="312" spans="1:5" ht="13" x14ac:dyDescent="0.3">
      <c r="A312" s="66"/>
      <c r="B312" s="66"/>
      <c r="C312" s="66"/>
      <c r="D312" s="66"/>
      <c r="E312" s="66"/>
    </row>
    <row r="313" spans="1:5" ht="13" x14ac:dyDescent="0.3">
      <c r="A313" s="66"/>
      <c r="B313" s="66"/>
      <c r="C313" s="66"/>
      <c r="D313" s="66"/>
      <c r="E313" s="66"/>
    </row>
    <row r="314" spans="1:5" ht="13" x14ac:dyDescent="0.3">
      <c r="A314" s="66"/>
      <c r="B314" s="66"/>
      <c r="C314" s="66"/>
      <c r="D314" s="66"/>
      <c r="E314" s="66"/>
    </row>
    <row r="315" spans="1:5" ht="13" x14ac:dyDescent="0.3">
      <c r="A315" s="66"/>
      <c r="B315" s="66"/>
      <c r="C315" s="66"/>
      <c r="D315" s="66"/>
      <c r="E315" s="66"/>
    </row>
    <row r="316" spans="1:5" ht="13" x14ac:dyDescent="0.3">
      <c r="A316" s="66"/>
      <c r="B316" s="66"/>
      <c r="C316" s="66"/>
      <c r="D316" s="66"/>
      <c r="E316" s="66"/>
    </row>
    <row r="317" spans="1:5" ht="13" x14ac:dyDescent="0.3">
      <c r="A317" s="66"/>
      <c r="B317" s="66"/>
      <c r="C317" s="66"/>
      <c r="D317" s="66"/>
      <c r="E317" s="66"/>
    </row>
    <row r="318" spans="1:5" ht="13" x14ac:dyDescent="0.3">
      <c r="A318" s="66"/>
      <c r="B318" s="66"/>
      <c r="C318" s="66"/>
      <c r="D318" s="66"/>
      <c r="E318" s="66"/>
    </row>
    <row r="319" spans="1:5" ht="13" x14ac:dyDescent="0.3">
      <c r="A319" s="66"/>
      <c r="B319" s="66"/>
      <c r="C319" s="66"/>
      <c r="D319" s="66"/>
      <c r="E319" s="66"/>
    </row>
    <row r="320" spans="1:5" ht="13" x14ac:dyDescent="0.3">
      <c r="A320" s="66"/>
      <c r="B320" s="66"/>
      <c r="C320" s="66"/>
      <c r="D320" s="66"/>
      <c r="E320" s="66"/>
    </row>
    <row r="321" spans="1:5" ht="13" x14ac:dyDescent="0.3">
      <c r="A321" s="66"/>
      <c r="B321" s="66"/>
      <c r="C321" s="66"/>
      <c r="D321" s="66"/>
      <c r="E321" s="66"/>
    </row>
    <row r="322" spans="1:5" ht="13" x14ac:dyDescent="0.3">
      <c r="A322" s="66"/>
      <c r="B322" s="66"/>
      <c r="C322" s="66"/>
      <c r="D322" s="66"/>
      <c r="E322" s="66"/>
    </row>
    <row r="323" spans="1:5" ht="13" x14ac:dyDescent="0.3">
      <c r="A323" s="66"/>
      <c r="B323" s="66"/>
      <c r="C323" s="66"/>
      <c r="D323" s="66"/>
      <c r="E323" s="66"/>
    </row>
    <row r="324" spans="1:5" ht="13" x14ac:dyDescent="0.3">
      <c r="A324" s="66"/>
      <c r="B324" s="66"/>
      <c r="C324" s="66"/>
      <c r="D324" s="66"/>
      <c r="E324" s="66"/>
    </row>
    <row r="325" spans="1:5" ht="13" x14ac:dyDescent="0.3">
      <c r="A325" s="66"/>
      <c r="B325" s="66"/>
      <c r="C325" s="66"/>
      <c r="D325" s="66"/>
      <c r="E325" s="66"/>
    </row>
    <row r="326" spans="1:5" ht="13" x14ac:dyDescent="0.3">
      <c r="A326" s="66"/>
      <c r="B326" s="66"/>
      <c r="C326" s="66"/>
      <c r="D326" s="66"/>
      <c r="E326" s="66"/>
    </row>
    <row r="327" spans="1:5" ht="13" x14ac:dyDescent="0.3">
      <c r="A327" s="66"/>
      <c r="B327" s="66"/>
      <c r="C327" s="66"/>
      <c r="D327" s="66"/>
      <c r="E327" s="66"/>
    </row>
    <row r="328" spans="1:5" ht="13" x14ac:dyDescent="0.3">
      <c r="A328" s="66"/>
      <c r="B328" s="66"/>
      <c r="C328" s="66"/>
      <c r="D328" s="66"/>
      <c r="E328" s="66"/>
    </row>
    <row r="329" spans="1:5" ht="13" x14ac:dyDescent="0.3">
      <c r="A329" s="66"/>
      <c r="B329" s="66"/>
      <c r="C329" s="66"/>
      <c r="D329" s="66"/>
      <c r="E329" s="66"/>
    </row>
    <row r="330" spans="1:5" ht="13" x14ac:dyDescent="0.3">
      <c r="A330" s="66"/>
      <c r="B330" s="66"/>
      <c r="C330" s="66"/>
      <c r="D330" s="66"/>
      <c r="E330" s="66"/>
    </row>
    <row r="331" spans="1:5" ht="13" x14ac:dyDescent="0.3">
      <c r="A331" s="66"/>
      <c r="B331" s="66"/>
      <c r="C331" s="66"/>
      <c r="D331" s="66"/>
      <c r="E331" s="66"/>
    </row>
    <row r="332" spans="1:5" ht="13" x14ac:dyDescent="0.3">
      <c r="A332" s="66"/>
      <c r="B332" s="66"/>
      <c r="C332" s="66"/>
      <c r="D332" s="66"/>
      <c r="E332" s="66"/>
    </row>
    <row r="333" spans="1:5" ht="13" x14ac:dyDescent="0.3">
      <c r="A333" s="66"/>
      <c r="B333" s="66"/>
      <c r="C333" s="66"/>
      <c r="D333" s="66"/>
      <c r="E333" s="66"/>
    </row>
    <row r="334" spans="1:5" ht="13" x14ac:dyDescent="0.3">
      <c r="A334" s="66"/>
      <c r="B334" s="66"/>
      <c r="C334" s="66"/>
      <c r="D334" s="66"/>
      <c r="E334" s="66"/>
    </row>
    <row r="335" spans="1:5" ht="13" x14ac:dyDescent="0.3">
      <c r="A335" s="66"/>
      <c r="B335" s="66"/>
      <c r="C335" s="66"/>
      <c r="D335" s="66"/>
      <c r="E335" s="66"/>
    </row>
    <row r="336" spans="1:5" ht="13" x14ac:dyDescent="0.3">
      <c r="A336" s="66"/>
      <c r="B336" s="66"/>
      <c r="C336" s="66"/>
      <c r="D336" s="66"/>
      <c r="E336" s="66"/>
    </row>
    <row r="337" spans="1:5" ht="13" x14ac:dyDescent="0.3">
      <c r="A337" s="66"/>
      <c r="B337" s="66"/>
      <c r="C337" s="66"/>
      <c r="D337" s="66"/>
      <c r="E337" s="66"/>
    </row>
    <row r="338" spans="1:5" ht="13" x14ac:dyDescent="0.3">
      <c r="A338" s="66"/>
      <c r="B338" s="66"/>
      <c r="C338" s="66"/>
      <c r="D338" s="66"/>
      <c r="E338" s="66"/>
    </row>
    <row r="339" spans="1:5" ht="13" x14ac:dyDescent="0.3">
      <c r="A339" s="66"/>
      <c r="B339" s="66"/>
      <c r="C339" s="66"/>
      <c r="D339" s="66"/>
      <c r="E339" s="66"/>
    </row>
    <row r="340" spans="1:5" ht="13" x14ac:dyDescent="0.3">
      <c r="A340" s="66"/>
      <c r="B340" s="66"/>
      <c r="C340" s="66"/>
      <c r="D340" s="66"/>
      <c r="E340" s="66"/>
    </row>
    <row r="341" spans="1:5" ht="13" x14ac:dyDescent="0.3">
      <c r="A341" s="66"/>
      <c r="B341" s="66"/>
      <c r="C341" s="66"/>
      <c r="D341" s="66"/>
      <c r="E341" s="66"/>
    </row>
    <row r="342" spans="1:5" ht="13" x14ac:dyDescent="0.3">
      <c r="A342" s="66"/>
      <c r="B342" s="66"/>
      <c r="C342" s="66"/>
      <c r="D342" s="66"/>
      <c r="E342" s="66"/>
    </row>
    <row r="343" spans="1:5" ht="13" x14ac:dyDescent="0.3">
      <c r="A343" s="66"/>
      <c r="B343" s="66"/>
      <c r="C343" s="66"/>
      <c r="D343" s="66"/>
      <c r="E343" s="66"/>
    </row>
    <row r="344" spans="1:5" ht="13" x14ac:dyDescent="0.3">
      <c r="A344" s="66"/>
      <c r="B344" s="66"/>
      <c r="C344" s="66"/>
      <c r="D344" s="66"/>
      <c r="E344" s="66"/>
    </row>
    <row r="345" spans="1:5" ht="13" x14ac:dyDescent="0.3">
      <c r="A345" s="66"/>
      <c r="B345" s="66"/>
      <c r="C345" s="66"/>
      <c r="D345" s="66"/>
      <c r="E345" s="66"/>
    </row>
    <row r="346" spans="1:5" ht="13" x14ac:dyDescent="0.3">
      <c r="A346" s="66"/>
      <c r="B346" s="66"/>
      <c r="C346" s="66"/>
      <c r="D346" s="66"/>
      <c r="E346" s="66"/>
    </row>
    <row r="347" spans="1:5" ht="13" x14ac:dyDescent="0.3">
      <c r="A347" s="66"/>
      <c r="B347" s="66"/>
      <c r="C347" s="66"/>
      <c r="D347" s="66"/>
      <c r="E347" s="66"/>
    </row>
    <row r="348" spans="1:5" ht="13" x14ac:dyDescent="0.3">
      <c r="A348" s="66"/>
      <c r="B348" s="66"/>
      <c r="C348" s="66"/>
      <c r="D348" s="66"/>
      <c r="E348" s="66"/>
    </row>
    <row r="349" spans="1:5" ht="13" x14ac:dyDescent="0.3">
      <c r="A349" s="66"/>
      <c r="B349" s="66"/>
      <c r="C349" s="66"/>
      <c r="D349" s="66"/>
      <c r="E349" s="66"/>
    </row>
    <row r="350" spans="1:5" ht="13" x14ac:dyDescent="0.3">
      <c r="A350" s="66"/>
      <c r="B350" s="66"/>
      <c r="C350" s="66"/>
      <c r="D350" s="66"/>
      <c r="E350" s="66"/>
    </row>
    <row r="351" spans="1:5" ht="13" x14ac:dyDescent="0.3">
      <c r="A351" s="66"/>
      <c r="B351" s="66"/>
      <c r="C351" s="66"/>
      <c r="D351" s="66"/>
      <c r="E351" s="66"/>
    </row>
    <row r="352" spans="1:5" ht="13" x14ac:dyDescent="0.3">
      <c r="A352" s="66"/>
      <c r="B352" s="66"/>
      <c r="C352" s="66"/>
      <c r="D352" s="66"/>
      <c r="E352" s="66"/>
    </row>
    <row r="353" spans="1:5" ht="13" x14ac:dyDescent="0.3">
      <c r="A353" s="66"/>
      <c r="B353" s="66"/>
      <c r="C353" s="66"/>
      <c r="D353" s="66"/>
      <c r="E353" s="66"/>
    </row>
    <row r="354" spans="1:5" ht="13" x14ac:dyDescent="0.3">
      <c r="A354" s="66"/>
      <c r="B354" s="66"/>
      <c r="C354" s="66"/>
      <c r="D354" s="66"/>
      <c r="E354" s="66"/>
    </row>
    <row r="355" spans="1:5" ht="13" x14ac:dyDescent="0.3">
      <c r="A355" s="66"/>
      <c r="B355" s="66"/>
      <c r="C355" s="66"/>
      <c r="D355" s="66"/>
      <c r="E355" s="66"/>
    </row>
    <row r="356" spans="1:5" ht="13" x14ac:dyDescent="0.3">
      <c r="A356" s="66"/>
      <c r="B356" s="66"/>
      <c r="C356" s="66"/>
      <c r="D356" s="66"/>
      <c r="E356" s="66"/>
    </row>
    <row r="357" spans="1:5" ht="13" x14ac:dyDescent="0.3">
      <c r="A357" s="66"/>
      <c r="B357" s="66"/>
      <c r="C357" s="66"/>
      <c r="D357" s="66"/>
      <c r="E357" s="66"/>
    </row>
    <row r="358" spans="1:5" ht="13" x14ac:dyDescent="0.3">
      <c r="A358" s="66"/>
      <c r="B358" s="66"/>
      <c r="C358" s="66"/>
      <c r="D358" s="66"/>
      <c r="E358" s="66"/>
    </row>
    <row r="359" spans="1:5" ht="13" x14ac:dyDescent="0.3">
      <c r="A359" s="66"/>
      <c r="B359" s="66"/>
      <c r="C359" s="66"/>
      <c r="D359" s="66"/>
      <c r="E359" s="66"/>
    </row>
    <row r="360" spans="1:5" ht="13" x14ac:dyDescent="0.3">
      <c r="A360" s="66"/>
      <c r="B360" s="66"/>
      <c r="C360" s="66"/>
      <c r="D360" s="66"/>
      <c r="E360" s="66"/>
    </row>
    <row r="361" spans="1:5" ht="13" x14ac:dyDescent="0.3">
      <c r="A361" s="66"/>
      <c r="B361" s="66"/>
      <c r="C361" s="66"/>
      <c r="D361" s="66"/>
      <c r="E361" s="66"/>
    </row>
    <row r="362" spans="1:5" ht="13" x14ac:dyDescent="0.3">
      <c r="A362" s="66"/>
      <c r="B362" s="66"/>
      <c r="C362" s="66"/>
      <c r="D362" s="66"/>
      <c r="E362" s="66"/>
    </row>
    <row r="363" spans="1:5" ht="13" x14ac:dyDescent="0.3">
      <c r="A363" s="66"/>
      <c r="B363" s="66"/>
      <c r="C363" s="66"/>
      <c r="D363" s="66"/>
      <c r="E363" s="66"/>
    </row>
    <row r="364" spans="1:5" ht="13" x14ac:dyDescent="0.3">
      <c r="A364" s="66"/>
      <c r="B364" s="66"/>
      <c r="C364" s="66"/>
      <c r="D364" s="66"/>
      <c r="E364" s="66"/>
    </row>
    <row r="365" spans="1:5" ht="13" x14ac:dyDescent="0.3">
      <c r="A365" s="66"/>
      <c r="B365" s="66"/>
      <c r="C365" s="66"/>
      <c r="D365" s="66"/>
      <c r="E365" s="66"/>
    </row>
    <row r="366" spans="1:5" ht="13" x14ac:dyDescent="0.3">
      <c r="A366" s="66"/>
      <c r="B366" s="66"/>
      <c r="C366" s="66"/>
      <c r="D366" s="66"/>
      <c r="E366" s="66"/>
    </row>
    <row r="367" spans="1:5" ht="13" x14ac:dyDescent="0.3">
      <c r="A367" s="66"/>
      <c r="B367" s="66"/>
      <c r="C367" s="66"/>
      <c r="D367" s="66"/>
      <c r="E367" s="66"/>
    </row>
    <row r="368" spans="1:5" ht="13" x14ac:dyDescent="0.3">
      <c r="A368" s="66"/>
      <c r="B368" s="66"/>
      <c r="C368" s="66"/>
      <c r="D368" s="66"/>
      <c r="E368" s="66"/>
    </row>
    <row r="369" spans="1:5" ht="13" x14ac:dyDescent="0.3">
      <c r="A369" s="66"/>
      <c r="B369" s="66"/>
      <c r="C369" s="66"/>
      <c r="D369" s="66"/>
      <c r="E369" s="66"/>
    </row>
    <row r="370" spans="1:5" ht="13" x14ac:dyDescent="0.3">
      <c r="A370" s="66"/>
      <c r="B370" s="66"/>
      <c r="C370" s="66"/>
      <c r="D370" s="66"/>
      <c r="E370" s="66"/>
    </row>
    <row r="371" spans="1:5" ht="13" x14ac:dyDescent="0.3">
      <c r="A371" s="66"/>
      <c r="B371" s="66"/>
      <c r="C371" s="66"/>
      <c r="D371" s="66"/>
      <c r="E371" s="66"/>
    </row>
    <row r="372" spans="1:5" ht="13" x14ac:dyDescent="0.3">
      <c r="A372" s="66"/>
      <c r="B372" s="66"/>
      <c r="C372" s="66"/>
      <c r="D372" s="66"/>
      <c r="E372" s="66"/>
    </row>
    <row r="373" spans="1:5" ht="13" x14ac:dyDescent="0.3">
      <c r="A373" s="66"/>
      <c r="B373" s="66"/>
      <c r="C373" s="66"/>
      <c r="D373" s="66"/>
      <c r="E373" s="66"/>
    </row>
    <row r="374" spans="1:5" ht="13" x14ac:dyDescent="0.3">
      <c r="A374" s="66"/>
      <c r="B374" s="66"/>
      <c r="C374" s="66"/>
      <c r="D374" s="66"/>
      <c r="E374" s="66"/>
    </row>
    <row r="375" spans="1:5" ht="13" x14ac:dyDescent="0.3">
      <c r="A375" s="66"/>
      <c r="B375" s="66"/>
      <c r="C375" s="66"/>
      <c r="D375" s="66"/>
      <c r="E375" s="66"/>
    </row>
    <row r="376" spans="1:5" ht="13" x14ac:dyDescent="0.3">
      <c r="A376" s="66"/>
      <c r="B376" s="66"/>
      <c r="C376" s="66"/>
      <c r="D376" s="66"/>
      <c r="E376" s="66"/>
    </row>
    <row r="377" spans="1:5" ht="13" x14ac:dyDescent="0.3">
      <c r="A377" s="66"/>
      <c r="B377" s="66"/>
      <c r="C377" s="66"/>
      <c r="D377" s="66"/>
      <c r="E377" s="66"/>
    </row>
    <row r="378" spans="1:5" ht="13" x14ac:dyDescent="0.3">
      <c r="A378" s="66"/>
      <c r="B378" s="66"/>
      <c r="C378" s="66"/>
      <c r="D378" s="66"/>
      <c r="E378" s="66"/>
    </row>
    <row r="379" spans="1:5" ht="13" x14ac:dyDescent="0.3">
      <c r="A379" s="66"/>
      <c r="B379" s="66"/>
      <c r="C379" s="66"/>
      <c r="D379" s="66"/>
      <c r="E379" s="66"/>
    </row>
    <row r="380" spans="1:5" ht="13" x14ac:dyDescent="0.3">
      <c r="A380" s="66"/>
      <c r="B380" s="66"/>
      <c r="C380" s="66"/>
      <c r="D380" s="66"/>
      <c r="E380" s="66"/>
    </row>
    <row r="381" spans="1:5" ht="13" x14ac:dyDescent="0.3">
      <c r="A381" s="66"/>
      <c r="B381" s="66"/>
      <c r="C381" s="66"/>
      <c r="D381" s="66"/>
      <c r="E381" s="66"/>
    </row>
    <row r="382" spans="1:5" ht="13" x14ac:dyDescent="0.3">
      <c r="A382" s="66"/>
      <c r="B382" s="66"/>
      <c r="C382" s="66"/>
      <c r="D382" s="66"/>
      <c r="E382" s="66"/>
    </row>
    <row r="383" spans="1:5" ht="13" x14ac:dyDescent="0.3">
      <c r="A383" s="66"/>
      <c r="B383" s="66"/>
      <c r="C383" s="66"/>
      <c r="D383" s="66"/>
      <c r="E383" s="66"/>
    </row>
    <row r="384" spans="1:5" ht="13" x14ac:dyDescent="0.3">
      <c r="A384" s="66"/>
      <c r="B384" s="66"/>
      <c r="C384" s="66"/>
      <c r="D384" s="66"/>
      <c r="E384" s="66"/>
    </row>
    <row r="385" spans="1:5" ht="13" x14ac:dyDescent="0.3">
      <c r="A385" s="66"/>
      <c r="B385" s="66"/>
      <c r="C385" s="66"/>
      <c r="D385" s="66"/>
      <c r="E385" s="66"/>
    </row>
    <row r="386" spans="1:5" ht="13" x14ac:dyDescent="0.3">
      <c r="A386" s="66"/>
      <c r="B386" s="66"/>
      <c r="C386" s="66"/>
      <c r="D386" s="66"/>
      <c r="E386" s="66"/>
    </row>
    <row r="387" spans="1:5" ht="13" x14ac:dyDescent="0.3">
      <c r="A387" s="66"/>
      <c r="B387" s="66"/>
      <c r="C387" s="66"/>
      <c r="D387" s="66"/>
      <c r="E387" s="66"/>
    </row>
    <row r="388" spans="1:5" ht="13" x14ac:dyDescent="0.3">
      <c r="A388" s="66"/>
      <c r="B388" s="66"/>
      <c r="C388" s="66"/>
      <c r="D388" s="66"/>
      <c r="E388" s="66"/>
    </row>
    <row r="389" spans="1:5" ht="13" x14ac:dyDescent="0.3">
      <c r="A389" s="66"/>
      <c r="B389" s="66"/>
      <c r="C389" s="66"/>
      <c r="D389" s="66"/>
      <c r="E389" s="66"/>
    </row>
    <row r="390" spans="1:5" ht="13" x14ac:dyDescent="0.3">
      <c r="A390" s="66"/>
      <c r="B390" s="66"/>
      <c r="C390" s="66"/>
      <c r="D390" s="66"/>
      <c r="E390" s="66"/>
    </row>
    <row r="391" spans="1:5" ht="13" x14ac:dyDescent="0.3">
      <c r="A391" s="66"/>
      <c r="B391" s="66"/>
      <c r="C391" s="66"/>
      <c r="D391" s="66"/>
      <c r="E391" s="66"/>
    </row>
    <row r="392" spans="1:5" ht="13" x14ac:dyDescent="0.3">
      <c r="A392" s="66"/>
      <c r="B392" s="66"/>
      <c r="C392" s="66"/>
      <c r="D392" s="66"/>
      <c r="E392" s="66"/>
    </row>
    <row r="393" spans="1:5" ht="13" x14ac:dyDescent="0.3">
      <c r="A393" s="66"/>
      <c r="B393" s="66"/>
      <c r="C393" s="66"/>
      <c r="D393" s="66"/>
      <c r="E393" s="66"/>
    </row>
    <row r="394" spans="1:5" ht="13" x14ac:dyDescent="0.3">
      <c r="A394" s="66"/>
      <c r="B394" s="66"/>
      <c r="C394" s="66"/>
      <c r="D394" s="66"/>
      <c r="E394" s="66"/>
    </row>
    <row r="395" spans="1:5" ht="13" x14ac:dyDescent="0.3">
      <c r="A395" s="66"/>
      <c r="B395" s="66"/>
      <c r="C395" s="66"/>
      <c r="D395" s="66"/>
      <c r="E395" s="66"/>
    </row>
    <row r="396" spans="1:5" ht="13" x14ac:dyDescent="0.3">
      <c r="A396" s="66"/>
      <c r="B396" s="66"/>
      <c r="C396" s="66"/>
      <c r="D396" s="66"/>
      <c r="E396" s="66"/>
    </row>
    <row r="397" spans="1:5" ht="13" x14ac:dyDescent="0.3">
      <c r="A397" s="66"/>
      <c r="B397" s="66"/>
      <c r="C397" s="66"/>
      <c r="D397" s="66"/>
      <c r="E397" s="66"/>
    </row>
    <row r="398" spans="1:5" ht="13" x14ac:dyDescent="0.3">
      <c r="A398" s="66"/>
      <c r="B398" s="66"/>
      <c r="C398" s="66"/>
      <c r="D398" s="66"/>
      <c r="E398" s="66"/>
    </row>
    <row r="399" spans="1:5" ht="13" x14ac:dyDescent="0.3">
      <c r="A399" s="66"/>
      <c r="B399" s="66"/>
      <c r="C399" s="66"/>
      <c r="D399" s="66"/>
      <c r="E399" s="66"/>
    </row>
    <row r="400" spans="1:5" ht="13" x14ac:dyDescent="0.3">
      <c r="A400" s="66"/>
      <c r="B400" s="66"/>
      <c r="C400" s="66"/>
      <c r="D400" s="66"/>
      <c r="E400" s="66"/>
    </row>
    <row r="401" spans="1:5" ht="13" x14ac:dyDescent="0.3">
      <c r="A401" s="66"/>
      <c r="B401" s="66"/>
      <c r="C401" s="66"/>
      <c r="D401" s="66"/>
      <c r="E401" s="66"/>
    </row>
    <row r="402" spans="1:5" ht="13" x14ac:dyDescent="0.3">
      <c r="A402" s="66"/>
      <c r="B402" s="66"/>
      <c r="C402" s="66"/>
      <c r="D402" s="66"/>
      <c r="E402" s="66"/>
    </row>
    <row r="403" spans="1:5" ht="13" x14ac:dyDescent="0.3">
      <c r="A403" s="66"/>
      <c r="B403" s="66"/>
      <c r="C403" s="66"/>
      <c r="D403" s="66"/>
      <c r="E403" s="66"/>
    </row>
    <row r="404" spans="1:5" ht="13" x14ac:dyDescent="0.3">
      <c r="A404" s="66"/>
      <c r="B404" s="66"/>
      <c r="C404" s="66"/>
      <c r="D404" s="66"/>
      <c r="E404" s="66"/>
    </row>
    <row r="405" spans="1:5" ht="13" x14ac:dyDescent="0.3">
      <c r="A405" s="66"/>
      <c r="B405" s="66"/>
      <c r="C405" s="66"/>
      <c r="D405" s="66"/>
      <c r="E405" s="66"/>
    </row>
    <row r="406" spans="1:5" ht="13" x14ac:dyDescent="0.3">
      <c r="A406" s="66"/>
      <c r="B406" s="66"/>
      <c r="C406" s="66"/>
      <c r="D406" s="66"/>
      <c r="E406" s="66"/>
    </row>
    <row r="407" spans="1:5" ht="13" x14ac:dyDescent="0.3">
      <c r="A407" s="66"/>
      <c r="B407" s="66"/>
      <c r="C407" s="66"/>
      <c r="D407" s="66"/>
      <c r="E407" s="66"/>
    </row>
    <row r="408" spans="1:5" ht="13" x14ac:dyDescent="0.3">
      <c r="A408" s="66"/>
      <c r="B408" s="66"/>
      <c r="C408" s="66"/>
      <c r="D408" s="66"/>
      <c r="E408" s="66"/>
    </row>
    <row r="409" spans="1:5" ht="13" x14ac:dyDescent="0.3">
      <c r="A409" s="66"/>
      <c r="B409" s="66"/>
      <c r="C409" s="66"/>
      <c r="D409" s="66"/>
      <c r="E409" s="66"/>
    </row>
    <row r="410" spans="1:5" ht="13" x14ac:dyDescent="0.3">
      <c r="A410" s="66"/>
      <c r="B410" s="66"/>
      <c r="C410" s="66"/>
      <c r="D410" s="66"/>
      <c r="E410" s="66"/>
    </row>
    <row r="411" spans="1:5" ht="13" x14ac:dyDescent="0.3">
      <c r="A411" s="66"/>
      <c r="B411" s="66"/>
      <c r="C411" s="66"/>
      <c r="D411" s="66"/>
      <c r="E411" s="66"/>
    </row>
    <row r="412" spans="1:5" ht="13" x14ac:dyDescent="0.3">
      <c r="A412" s="66"/>
      <c r="B412" s="66"/>
      <c r="C412" s="66"/>
      <c r="D412" s="66"/>
      <c r="E412" s="66"/>
    </row>
    <row r="413" spans="1:5" ht="13" x14ac:dyDescent="0.3">
      <c r="A413" s="66"/>
      <c r="B413" s="66"/>
      <c r="C413" s="66"/>
      <c r="D413" s="66"/>
      <c r="E413" s="66"/>
    </row>
    <row r="414" spans="1:5" ht="13" x14ac:dyDescent="0.3">
      <c r="A414" s="66"/>
      <c r="B414" s="66"/>
      <c r="C414" s="66"/>
      <c r="D414" s="66"/>
      <c r="E414" s="66"/>
    </row>
    <row r="415" spans="1:5" ht="13" x14ac:dyDescent="0.3">
      <c r="A415" s="66"/>
      <c r="B415" s="66"/>
      <c r="C415" s="66"/>
      <c r="D415" s="66"/>
      <c r="E415" s="66"/>
    </row>
    <row r="416" spans="1:5" ht="13" x14ac:dyDescent="0.3">
      <c r="A416" s="66"/>
      <c r="B416" s="66"/>
      <c r="C416" s="66"/>
      <c r="D416" s="66"/>
      <c r="E416" s="66"/>
    </row>
    <row r="417" spans="1:5" ht="13" x14ac:dyDescent="0.3">
      <c r="A417" s="66"/>
      <c r="B417" s="66"/>
      <c r="C417" s="66"/>
      <c r="D417" s="66"/>
      <c r="E417" s="66"/>
    </row>
    <row r="418" spans="1:5" ht="13" x14ac:dyDescent="0.3">
      <c r="A418" s="66"/>
      <c r="B418" s="66"/>
      <c r="C418" s="66"/>
      <c r="D418" s="66"/>
      <c r="E418" s="66"/>
    </row>
    <row r="419" spans="1:5" ht="13" x14ac:dyDescent="0.3">
      <c r="A419" s="66"/>
      <c r="B419" s="66"/>
      <c r="C419" s="66"/>
      <c r="D419" s="66"/>
      <c r="E419" s="66"/>
    </row>
    <row r="420" spans="1:5" ht="13" x14ac:dyDescent="0.3">
      <c r="A420" s="66"/>
      <c r="B420" s="66"/>
      <c r="C420" s="66"/>
      <c r="D420" s="66"/>
      <c r="E420" s="66"/>
    </row>
    <row r="421" spans="1:5" ht="13" x14ac:dyDescent="0.3">
      <c r="A421" s="66"/>
      <c r="B421" s="66"/>
      <c r="C421" s="66"/>
      <c r="D421" s="66"/>
      <c r="E421" s="66"/>
    </row>
    <row r="422" spans="1:5" ht="13" x14ac:dyDescent="0.3">
      <c r="A422" s="66"/>
      <c r="B422" s="66"/>
      <c r="C422" s="66"/>
      <c r="D422" s="66"/>
      <c r="E422" s="66"/>
    </row>
    <row r="423" spans="1:5" ht="13" x14ac:dyDescent="0.3">
      <c r="A423" s="66"/>
      <c r="B423" s="66"/>
      <c r="C423" s="66"/>
      <c r="D423" s="66"/>
      <c r="E423" s="66"/>
    </row>
    <row r="424" spans="1:5" ht="13" x14ac:dyDescent="0.3">
      <c r="A424" s="66"/>
      <c r="B424" s="66"/>
      <c r="C424" s="66"/>
      <c r="D424" s="66"/>
      <c r="E424" s="66"/>
    </row>
    <row r="425" spans="1:5" ht="13" x14ac:dyDescent="0.3">
      <c r="A425" s="66"/>
      <c r="B425" s="66"/>
      <c r="C425" s="66"/>
      <c r="D425" s="66"/>
      <c r="E425" s="66"/>
    </row>
    <row r="426" spans="1:5" ht="13" x14ac:dyDescent="0.3">
      <c r="A426" s="66"/>
      <c r="B426" s="66"/>
      <c r="C426" s="66"/>
      <c r="D426" s="66"/>
      <c r="E426" s="66"/>
    </row>
    <row r="427" spans="1:5" ht="13" x14ac:dyDescent="0.3">
      <c r="A427" s="66"/>
      <c r="B427" s="66"/>
      <c r="C427" s="66"/>
      <c r="D427" s="66"/>
      <c r="E427" s="66"/>
    </row>
    <row r="428" spans="1:5" ht="13" x14ac:dyDescent="0.3">
      <c r="A428" s="66"/>
      <c r="B428" s="66"/>
      <c r="C428" s="66"/>
      <c r="D428" s="66"/>
      <c r="E428" s="66"/>
    </row>
    <row r="429" spans="1:5" ht="13" x14ac:dyDescent="0.3">
      <c r="A429" s="66"/>
      <c r="B429" s="66"/>
      <c r="C429" s="66"/>
      <c r="D429" s="66"/>
      <c r="E429" s="66"/>
    </row>
    <row r="430" spans="1:5" ht="13" x14ac:dyDescent="0.3">
      <c r="A430" s="66"/>
      <c r="B430" s="66"/>
      <c r="C430" s="66"/>
      <c r="D430" s="66"/>
      <c r="E430" s="66"/>
    </row>
    <row r="431" spans="1:5" ht="13" x14ac:dyDescent="0.3">
      <c r="A431" s="66"/>
      <c r="B431" s="66"/>
      <c r="C431" s="66"/>
      <c r="D431" s="66"/>
      <c r="E431" s="66"/>
    </row>
    <row r="432" spans="1:5" ht="13" x14ac:dyDescent="0.3">
      <c r="A432" s="66"/>
      <c r="B432" s="66"/>
      <c r="C432" s="66"/>
      <c r="D432" s="66"/>
      <c r="E432" s="66"/>
    </row>
    <row r="433" spans="1:5" ht="13" x14ac:dyDescent="0.3">
      <c r="A433" s="66"/>
      <c r="B433" s="66"/>
      <c r="C433" s="66"/>
      <c r="D433" s="66"/>
      <c r="E433" s="66"/>
    </row>
    <row r="434" spans="1:5" ht="13" x14ac:dyDescent="0.3">
      <c r="A434" s="66"/>
      <c r="B434" s="66"/>
      <c r="C434" s="66"/>
      <c r="D434" s="66"/>
      <c r="E434" s="66"/>
    </row>
    <row r="435" spans="1:5" ht="13" x14ac:dyDescent="0.3">
      <c r="A435" s="66"/>
      <c r="B435" s="66"/>
      <c r="C435" s="66"/>
      <c r="D435" s="66"/>
      <c r="E435" s="66"/>
    </row>
    <row r="436" spans="1:5" ht="13" x14ac:dyDescent="0.3">
      <c r="A436" s="66"/>
      <c r="B436" s="66"/>
      <c r="C436" s="66"/>
      <c r="D436" s="66"/>
      <c r="E436" s="66"/>
    </row>
    <row r="437" spans="1:5" ht="13" x14ac:dyDescent="0.3">
      <c r="A437" s="66"/>
      <c r="B437" s="66"/>
      <c r="C437" s="66"/>
      <c r="D437" s="66"/>
      <c r="E437" s="66"/>
    </row>
    <row r="438" spans="1:5" ht="13" x14ac:dyDescent="0.3">
      <c r="A438" s="66"/>
      <c r="B438" s="66"/>
      <c r="C438" s="66"/>
      <c r="D438" s="66"/>
      <c r="E438" s="66"/>
    </row>
    <row r="439" spans="1:5" ht="13" x14ac:dyDescent="0.3">
      <c r="A439" s="66"/>
      <c r="B439" s="66"/>
      <c r="C439" s="66"/>
      <c r="D439" s="66"/>
      <c r="E439" s="66"/>
    </row>
    <row r="440" spans="1:5" ht="13" x14ac:dyDescent="0.3">
      <c r="A440" s="66"/>
      <c r="B440" s="66"/>
      <c r="C440" s="66"/>
      <c r="D440" s="66"/>
      <c r="E440" s="66"/>
    </row>
    <row r="441" spans="1:5" ht="13" x14ac:dyDescent="0.3">
      <c r="A441" s="66"/>
      <c r="B441" s="66"/>
      <c r="C441" s="66"/>
      <c r="D441" s="66"/>
      <c r="E441" s="66"/>
    </row>
    <row r="442" spans="1:5" ht="13" x14ac:dyDescent="0.3">
      <c r="A442" s="66"/>
      <c r="B442" s="66"/>
      <c r="C442" s="66"/>
      <c r="D442" s="66"/>
      <c r="E442" s="66"/>
    </row>
    <row r="443" spans="1:5" ht="13" x14ac:dyDescent="0.3">
      <c r="A443" s="66"/>
      <c r="B443" s="66"/>
      <c r="C443" s="66"/>
      <c r="D443" s="66"/>
      <c r="E443" s="66"/>
    </row>
    <row r="444" spans="1:5" ht="13" x14ac:dyDescent="0.3">
      <c r="A444" s="66"/>
      <c r="B444" s="66"/>
      <c r="C444" s="66"/>
      <c r="D444" s="66"/>
      <c r="E444" s="66"/>
    </row>
    <row r="445" spans="1:5" ht="13" x14ac:dyDescent="0.3">
      <c r="A445" s="66"/>
      <c r="B445" s="66"/>
      <c r="C445" s="66"/>
      <c r="D445" s="66"/>
      <c r="E445" s="66"/>
    </row>
    <row r="446" spans="1:5" ht="13" x14ac:dyDescent="0.3">
      <c r="A446" s="66"/>
      <c r="B446" s="66"/>
      <c r="C446" s="66"/>
      <c r="D446" s="66"/>
      <c r="E446" s="66"/>
    </row>
    <row r="447" spans="1:5" ht="13" x14ac:dyDescent="0.3">
      <c r="A447" s="66"/>
      <c r="B447" s="66"/>
      <c r="C447" s="66"/>
      <c r="D447" s="66"/>
      <c r="E447" s="66"/>
    </row>
    <row r="448" spans="1:5" ht="13" x14ac:dyDescent="0.3">
      <c r="A448" s="66"/>
      <c r="B448" s="66"/>
      <c r="C448" s="66"/>
      <c r="D448" s="66"/>
      <c r="E448" s="66"/>
    </row>
    <row r="449" spans="1:5" ht="13" x14ac:dyDescent="0.3">
      <c r="A449" s="66"/>
      <c r="B449" s="66"/>
      <c r="C449" s="66"/>
      <c r="D449" s="66"/>
      <c r="E449" s="66"/>
    </row>
    <row r="450" spans="1:5" ht="13" x14ac:dyDescent="0.3">
      <c r="A450" s="66"/>
      <c r="B450" s="66"/>
      <c r="C450" s="66"/>
      <c r="D450" s="66"/>
      <c r="E450" s="66"/>
    </row>
    <row r="451" spans="1:5" ht="13" x14ac:dyDescent="0.3">
      <c r="A451" s="66"/>
      <c r="B451" s="66"/>
      <c r="C451" s="66"/>
      <c r="D451" s="66"/>
      <c r="E451" s="66"/>
    </row>
    <row r="452" spans="1:5" ht="13" x14ac:dyDescent="0.3">
      <c r="A452" s="66"/>
      <c r="B452" s="66"/>
      <c r="C452" s="66"/>
      <c r="D452" s="66"/>
      <c r="E452" s="66"/>
    </row>
    <row r="453" spans="1:5" ht="13" x14ac:dyDescent="0.3">
      <c r="A453" s="66"/>
      <c r="B453" s="66"/>
      <c r="C453" s="66"/>
      <c r="D453" s="66"/>
      <c r="E453" s="66"/>
    </row>
    <row r="454" spans="1:5" ht="13" x14ac:dyDescent="0.3">
      <c r="A454" s="66"/>
      <c r="B454" s="66"/>
      <c r="C454" s="66"/>
      <c r="D454" s="66"/>
      <c r="E454" s="66"/>
    </row>
    <row r="455" spans="1:5" ht="13" x14ac:dyDescent="0.3">
      <c r="A455" s="66"/>
      <c r="B455" s="66"/>
      <c r="C455" s="66"/>
      <c r="D455" s="66"/>
      <c r="E455" s="66"/>
    </row>
    <row r="456" spans="1:5" ht="13" x14ac:dyDescent="0.3">
      <c r="A456" s="66"/>
      <c r="B456" s="66"/>
      <c r="C456" s="66"/>
      <c r="D456" s="66"/>
      <c r="E456" s="66"/>
    </row>
    <row r="457" spans="1:5" ht="13" x14ac:dyDescent="0.3">
      <c r="A457" s="66"/>
      <c r="B457" s="66"/>
      <c r="C457" s="66"/>
      <c r="D457" s="66"/>
      <c r="E457" s="66"/>
    </row>
    <row r="458" spans="1:5" ht="13" x14ac:dyDescent="0.3">
      <c r="A458" s="66"/>
      <c r="B458" s="66"/>
      <c r="C458" s="66"/>
      <c r="D458" s="66"/>
      <c r="E458" s="66"/>
    </row>
    <row r="459" spans="1:5" ht="13" x14ac:dyDescent="0.3">
      <c r="A459" s="66"/>
      <c r="B459" s="66"/>
      <c r="C459" s="66"/>
      <c r="D459" s="66"/>
      <c r="E459" s="66"/>
    </row>
    <row r="460" spans="1:5" ht="13" x14ac:dyDescent="0.3">
      <c r="A460" s="66"/>
      <c r="B460" s="66"/>
      <c r="C460" s="66"/>
      <c r="D460" s="66"/>
      <c r="E460" s="66"/>
    </row>
    <row r="461" spans="1:5" ht="13" x14ac:dyDescent="0.3">
      <c r="A461" s="66"/>
      <c r="B461" s="66"/>
      <c r="C461" s="66"/>
      <c r="D461" s="66"/>
      <c r="E461" s="66"/>
    </row>
    <row r="462" spans="1:5" ht="13" x14ac:dyDescent="0.3">
      <c r="A462" s="66"/>
      <c r="B462" s="66"/>
      <c r="C462" s="66"/>
      <c r="D462" s="66"/>
      <c r="E462" s="66"/>
    </row>
    <row r="463" spans="1:5" ht="13" x14ac:dyDescent="0.3">
      <c r="A463" s="66"/>
      <c r="B463" s="66"/>
      <c r="C463" s="66"/>
      <c r="D463" s="66"/>
      <c r="E463" s="66"/>
    </row>
    <row r="464" spans="1:5" ht="13" x14ac:dyDescent="0.3">
      <c r="A464" s="66"/>
      <c r="B464" s="66"/>
      <c r="C464" s="66"/>
      <c r="D464" s="66"/>
      <c r="E464" s="66"/>
    </row>
    <row r="465" spans="1:5" ht="13" x14ac:dyDescent="0.3">
      <c r="A465" s="66"/>
      <c r="B465" s="66"/>
      <c r="C465" s="66"/>
      <c r="D465" s="66"/>
      <c r="E465" s="66"/>
    </row>
    <row r="466" spans="1:5" ht="13" x14ac:dyDescent="0.3">
      <c r="A466" s="66"/>
      <c r="B466" s="66"/>
      <c r="C466" s="66"/>
      <c r="D466" s="66"/>
      <c r="E466" s="66"/>
    </row>
    <row r="467" spans="1:5" ht="13" x14ac:dyDescent="0.3">
      <c r="A467" s="66"/>
      <c r="B467" s="66"/>
      <c r="C467" s="66"/>
      <c r="D467" s="66"/>
      <c r="E467" s="66"/>
    </row>
    <row r="468" spans="1:5" ht="13" x14ac:dyDescent="0.3">
      <c r="A468" s="66"/>
      <c r="B468" s="66"/>
      <c r="C468" s="66"/>
      <c r="D468" s="66"/>
      <c r="E468" s="66"/>
    </row>
    <row r="469" spans="1:5" ht="13" x14ac:dyDescent="0.3">
      <c r="A469" s="66"/>
      <c r="B469" s="66"/>
      <c r="C469" s="66"/>
      <c r="D469" s="66"/>
      <c r="E469" s="66"/>
    </row>
    <row r="470" spans="1:5" ht="13" x14ac:dyDescent="0.3">
      <c r="A470" s="66"/>
      <c r="B470" s="66"/>
      <c r="C470" s="66"/>
      <c r="D470" s="66"/>
      <c r="E470" s="66"/>
    </row>
    <row r="471" spans="1:5" ht="13" x14ac:dyDescent="0.3">
      <c r="A471" s="66"/>
      <c r="B471" s="66"/>
      <c r="C471" s="66"/>
      <c r="D471" s="66"/>
      <c r="E471" s="66"/>
    </row>
    <row r="472" spans="1:5" ht="13" x14ac:dyDescent="0.3">
      <c r="A472" s="66"/>
      <c r="B472" s="66"/>
      <c r="C472" s="66"/>
      <c r="D472" s="66"/>
      <c r="E472" s="66"/>
    </row>
    <row r="473" spans="1:5" ht="13" x14ac:dyDescent="0.3">
      <c r="A473" s="66"/>
      <c r="B473" s="66"/>
      <c r="C473" s="66"/>
      <c r="D473" s="66"/>
      <c r="E473" s="66"/>
    </row>
    <row r="474" spans="1:5" ht="13" x14ac:dyDescent="0.3">
      <c r="A474" s="66"/>
      <c r="B474" s="66"/>
      <c r="C474" s="66"/>
      <c r="D474" s="66"/>
      <c r="E474" s="66"/>
    </row>
    <row r="475" spans="1:5" ht="13" x14ac:dyDescent="0.3">
      <c r="A475" s="66"/>
      <c r="B475" s="66"/>
      <c r="C475" s="66"/>
      <c r="D475" s="66"/>
      <c r="E475" s="66"/>
    </row>
    <row r="476" spans="1:5" ht="13" x14ac:dyDescent="0.3">
      <c r="A476" s="66"/>
      <c r="B476" s="66"/>
      <c r="C476" s="66"/>
      <c r="D476" s="66"/>
      <c r="E476" s="66"/>
    </row>
    <row r="477" spans="1:5" ht="13" x14ac:dyDescent="0.3">
      <c r="A477" s="66"/>
      <c r="B477" s="66"/>
      <c r="C477" s="66"/>
      <c r="D477" s="66"/>
      <c r="E477" s="66"/>
    </row>
    <row r="478" spans="1:5" ht="13" x14ac:dyDescent="0.3">
      <c r="A478" s="66"/>
      <c r="B478" s="66"/>
      <c r="C478" s="66"/>
      <c r="D478" s="66"/>
      <c r="E478" s="66"/>
    </row>
    <row r="479" spans="1:5" ht="13" x14ac:dyDescent="0.3">
      <c r="A479" s="66"/>
      <c r="B479" s="66"/>
      <c r="C479" s="66"/>
      <c r="D479" s="66"/>
      <c r="E479" s="66"/>
    </row>
    <row r="480" spans="1:5" ht="13" x14ac:dyDescent="0.3">
      <c r="A480" s="66"/>
      <c r="B480" s="66"/>
      <c r="C480" s="66"/>
      <c r="D480" s="66"/>
      <c r="E480" s="66"/>
    </row>
    <row r="481" spans="1:5" ht="13" x14ac:dyDescent="0.3">
      <c r="A481" s="66"/>
      <c r="B481" s="66"/>
      <c r="C481" s="66"/>
      <c r="D481" s="66"/>
      <c r="E481" s="66"/>
    </row>
    <row r="482" spans="1:5" ht="13" x14ac:dyDescent="0.3">
      <c r="A482" s="66"/>
      <c r="B482" s="66"/>
      <c r="C482" s="66"/>
      <c r="D482" s="66"/>
      <c r="E482" s="66"/>
    </row>
    <row r="483" spans="1:5" ht="13" x14ac:dyDescent="0.3">
      <c r="A483" s="66"/>
      <c r="B483" s="66"/>
      <c r="C483" s="66"/>
      <c r="D483" s="66"/>
      <c r="E483" s="66"/>
    </row>
    <row r="484" spans="1:5" ht="13" x14ac:dyDescent="0.3">
      <c r="A484" s="66"/>
      <c r="B484" s="66"/>
      <c r="C484" s="66"/>
      <c r="D484" s="66"/>
      <c r="E484" s="66"/>
    </row>
    <row r="485" spans="1:5" ht="13" x14ac:dyDescent="0.3">
      <c r="A485" s="66"/>
      <c r="B485" s="66"/>
      <c r="C485" s="66"/>
      <c r="D485" s="66"/>
      <c r="E485" s="66"/>
    </row>
    <row r="486" spans="1:5" ht="13" x14ac:dyDescent="0.3">
      <c r="A486" s="66"/>
      <c r="B486" s="66"/>
      <c r="C486" s="66"/>
      <c r="D486" s="66"/>
      <c r="E486" s="66"/>
    </row>
    <row r="487" spans="1:5" ht="13" x14ac:dyDescent="0.3">
      <c r="A487" s="66"/>
      <c r="B487" s="66"/>
      <c r="C487" s="66"/>
      <c r="D487" s="66"/>
      <c r="E487" s="66"/>
    </row>
    <row r="488" spans="1:5" ht="13" x14ac:dyDescent="0.3">
      <c r="A488" s="66"/>
      <c r="B488" s="66"/>
      <c r="C488" s="66"/>
      <c r="D488" s="66"/>
      <c r="E488" s="66"/>
    </row>
    <row r="489" spans="1:5" ht="13" x14ac:dyDescent="0.3">
      <c r="A489" s="66"/>
      <c r="B489" s="66"/>
      <c r="C489" s="66"/>
      <c r="D489" s="66"/>
      <c r="E489" s="66"/>
    </row>
    <row r="490" spans="1:5" ht="13" x14ac:dyDescent="0.3">
      <c r="A490" s="66"/>
      <c r="B490" s="66"/>
      <c r="C490" s="66"/>
      <c r="D490" s="66"/>
      <c r="E490" s="66"/>
    </row>
    <row r="491" spans="1:5" ht="13" x14ac:dyDescent="0.3">
      <c r="A491" s="66"/>
      <c r="B491" s="66"/>
      <c r="C491" s="66"/>
      <c r="D491" s="66"/>
      <c r="E491" s="66"/>
    </row>
    <row r="492" spans="1:5" ht="13" x14ac:dyDescent="0.3">
      <c r="A492" s="66"/>
      <c r="B492" s="66"/>
      <c r="C492" s="66"/>
      <c r="D492" s="66"/>
      <c r="E492" s="66"/>
    </row>
    <row r="493" spans="1:5" ht="13" x14ac:dyDescent="0.3">
      <c r="A493" s="66"/>
      <c r="B493" s="66"/>
      <c r="C493" s="66"/>
      <c r="D493" s="66"/>
      <c r="E493" s="66"/>
    </row>
    <row r="494" spans="1:5" ht="13" x14ac:dyDescent="0.3">
      <c r="A494" s="66"/>
      <c r="B494" s="66"/>
      <c r="C494" s="66"/>
      <c r="D494" s="66"/>
      <c r="E494" s="66"/>
    </row>
    <row r="495" spans="1:5" ht="13" x14ac:dyDescent="0.3">
      <c r="A495" s="66"/>
      <c r="B495" s="66"/>
      <c r="C495" s="66"/>
      <c r="D495" s="66"/>
      <c r="E495" s="66"/>
    </row>
    <row r="496" spans="1:5" ht="13" x14ac:dyDescent="0.3">
      <c r="A496" s="66"/>
      <c r="B496" s="66"/>
      <c r="C496" s="66"/>
      <c r="D496" s="66"/>
      <c r="E496" s="66"/>
    </row>
    <row r="497" spans="1:5" ht="13" x14ac:dyDescent="0.3">
      <c r="A497" s="66"/>
      <c r="B497" s="66"/>
      <c r="C497" s="66"/>
      <c r="D497" s="66"/>
      <c r="E497" s="66"/>
    </row>
    <row r="498" spans="1:5" ht="13" x14ac:dyDescent="0.3">
      <c r="A498" s="66"/>
      <c r="B498" s="66"/>
      <c r="C498" s="66"/>
      <c r="D498" s="66"/>
      <c r="E498" s="66"/>
    </row>
    <row r="499" spans="1:5" ht="13" x14ac:dyDescent="0.3">
      <c r="A499" s="66"/>
      <c r="B499" s="66"/>
      <c r="C499" s="66"/>
      <c r="D499" s="66"/>
      <c r="E499" s="66"/>
    </row>
    <row r="500" spans="1:5" ht="13" x14ac:dyDescent="0.3">
      <c r="A500" s="66"/>
      <c r="B500" s="66"/>
      <c r="C500" s="66"/>
      <c r="D500" s="66"/>
      <c r="E500" s="66"/>
    </row>
    <row r="501" spans="1:5" ht="13" x14ac:dyDescent="0.3">
      <c r="A501" s="66"/>
      <c r="B501" s="66"/>
      <c r="C501" s="66"/>
      <c r="D501" s="66"/>
      <c r="E501" s="66"/>
    </row>
    <row r="502" spans="1:5" ht="13" x14ac:dyDescent="0.3">
      <c r="A502" s="66"/>
      <c r="B502" s="66"/>
      <c r="C502" s="66"/>
      <c r="D502" s="66"/>
      <c r="E502" s="66"/>
    </row>
    <row r="503" spans="1:5" ht="13" x14ac:dyDescent="0.3">
      <c r="A503" s="66"/>
      <c r="B503" s="66"/>
      <c r="C503" s="66"/>
      <c r="D503" s="66"/>
      <c r="E503" s="66"/>
    </row>
    <row r="504" spans="1:5" ht="13" x14ac:dyDescent="0.3">
      <c r="A504" s="66"/>
      <c r="B504" s="66"/>
      <c r="C504" s="66"/>
      <c r="D504" s="66"/>
      <c r="E504" s="66"/>
    </row>
    <row r="505" spans="1:5" ht="13" x14ac:dyDescent="0.3">
      <c r="A505" s="66"/>
      <c r="B505" s="66"/>
      <c r="C505" s="66"/>
      <c r="D505" s="66"/>
      <c r="E505" s="66"/>
    </row>
    <row r="506" spans="1:5" ht="13" x14ac:dyDescent="0.3">
      <c r="A506" s="66"/>
      <c r="B506" s="66"/>
      <c r="C506" s="66"/>
      <c r="D506" s="66"/>
      <c r="E506" s="66"/>
    </row>
    <row r="507" spans="1:5" ht="13" x14ac:dyDescent="0.3">
      <c r="A507" s="66"/>
      <c r="B507" s="66"/>
      <c r="C507" s="66"/>
      <c r="D507" s="66"/>
      <c r="E507" s="66"/>
    </row>
    <row r="508" spans="1:5" ht="13" x14ac:dyDescent="0.3">
      <c r="A508" s="66"/>
      <c r="B508" s="66"/>
      <c r="C508" s="66"/>
      <c r="D508" s="66"/>
      <c r="E508" s="66"/>
    </row>
    <row r="509" spans="1:5" ht="13" x14ac:dyDescent="0.3">
      <c r="A509" s="66"/>
      <c r="B509" s="66"/>
      <c r="C509" s="66"/>
      <c r="D509" s="66"/>
      <c r="E509" s="66"/>
    </row>
    <row r="510" spans="1:5" ht="13" x14ac:dyDescent="0.3">
      <c r="A510" s="66"/>
      <c r="B510" s="66"/>
      <c r="C510" s="66"/>
      <c r="D510" s="66"/>
      <c r="E510" s="66"/>
    </row>
    <row r="511" spans="1:5" ht="13" x14ac:dyDescent="0.3">
      <c r="A511" s="66"/>
      <c r="B511" s="66"/>
      <c r="C511" s="66"/>
      <c r="D511" s="66"/>
      <c r="E511" s="66"/>
    </row>
    <row r="512" spans="1:5" ht="13" x14ac:dyDescent="0.3">
      <c r="A512" s="66"/>
      <c r="B512" s="66"/>
      <c r="C512" s="66"/>
      <c r="D512" s="66"/>
      <c r="E512" s="66"/>
    </row>
    <row r="513" spans="1:5" ht="13" x14ac:dyDescent="0.3">
      <c r="A513" s="66"/>
      <c r="B513" s="66"/>
      <c r="C513" s="66"/>
      <c r="D513" s="66"/>
      <c r="E513" s="66"/>
    </row>
    <row r="514" spans="1:5" ht="13" x14ac:dyDescent="0.3">
      <c r="A514" s="66"/>
      <c r="B514" s="66"/>
      <c r="C514" s="66"/>
      <c r="D514" s="66"/>
      <c r="E514" s="66"/>
    </row>
    <row r="515" spans="1:5" ht="13" x14ac:dyDescent="0.3">
      <c r="A515" s="66"/>
      <c r="B515" s="66"/>
      <c r="C515" s="66"/>
      <c r="D515" s="66"/>
      <c r="E515" s="66"/>
    </row>
    <row r="516" spans="1:5" ht="13" x14ac:dyDescent="0.3">
      <c r="A516" s="66"/>
      <c r="B516" s="66"/>
      <c r="C516" s="66"/>
      <c r="D516" s="66"/>
      <c r="E516" s="66"/>
    </row>
    <row r="517" spans="1:5" ht="13" x14ac:dyDescent="0.3">
      <c r="A517" s="66"/>
      <c r="B517" s="66"/>
      <c r="C517" s="66"/>
      <c r="D517" s="66"/>
      <c r="E517" s="66"/>
    </row>
    <row r="518" spans="1:5" ht="13" x14ac:dyDescent="0.3">
      <c r="A518" s="66"/>
      <c r="B518" s="66"/>
      <c r="C518" s="66"/>
      <c r="D518" s="66"/>
      <c r="E518" s="66"/>
    </row>
    <row r="519" spans="1:5" ht="13" x14ac:dyDescent="0.3">
      <c r="A519" s="66"/>
      <c r="B519" s="66"/>
      <c r="C519" s="66"/>
      <c r="D519" s="66"/>
      <c r="E519" s="66"/>
    </row>
    <row r="520" spans="1:5" ht="13" x14ac:dyDescent="0.3">
      <c r="A520" s="66"/>
      <c r="B520" s="66"/>
      <c r="C520" s="66"/>
      <c r="D520" s="66"/>
      <c r="E520" s="66"/>
    </row>
    <row r="521" spans="1:5" ht="13" x14ac:dyDescent="0.3">
      <c r="A521" s="66"/>
      <c r="B521" s="66"/>
      <c r="C521" s="66"/>
      <c r="D521" s="66"/>
      <c r="E521" s="66"/>
    </row>
    <row r="522" spans="1:5" ht="13" x14ac:dyDescent="0.3">
      <c r="A522" s="66"/>
      <c r="B522" s="66"/>
      <c r="C522" s="66"/>
      <c r="D522" s="66"/>
      <c r="E522" s="66"/>
    </row>
    <row r="523" spans="1:5" ht="13" x14ac:dyDescent="0.3">
      <c r="A523" s="66"/>
      <c r="B523" s="66"/>
      <c r="C523" s="66"/>
      <c r="D523" s="66"/>
      <c r="E523" s="66"/>
    </row>
    <row r="524" spans="1:5" ht="13" x14ac:dyDescent="0.3">
      <c r="A524" s="66"/>
      <c r="B524" s="66"/>
      <c r="C524" s="66"/>
      <c r="D524" s="66"/>
      <c r="E524" s="66"/>
    </row>
    <row r="525" spans="1:5" ht="13" x14ac:dyDescent="0.3">
      <c r="A525" s="66"/>
      <c r="B525" s="66"/>
      <c r="C525" s="66"/>
      <c r="D525" s="66"/>
      <c r="E525" s="66"/>
    </row>
    <row r="526" spans="1:5" ht="13" x14ac:dyDescent="0.3">
      <c r="A526" s="66"/>
      <c r="B526" s="66"/>
      <c r="C526" s="66"/>
      <c r="D526" s="66"/>
      <c r="E526" s="66"/>
    </row>
    <row r="527" spans="1:5" ht="13" x14ac:dyDescent="0.3">
      <c r="A527" s="66"/>
      <c r="B527" s="66"/>
      <c r="C527" s="66"/>
      <c r="D527" s="66"/>
      <c r="E527" s="66"/>
    </row>
    <row r="528" spans="1:5" ht="13" x14ac:dyDescent="0.3">
      <c r="A528" s="66"/>
      <c r="B528" s="66"/>
      <c r="C528" s="66"/>
      <c r="D528" s="66"/>
      <c r="E528" s="66"/>
    </row>
    <row r="529" spans="1:5" ht="13" x14ac:dyDescent="0.3">
      <c r="A529" s="66"/>
      <c r="B529" s="66"/>
      <c r="C529" s="66"/>
      <c r="D529" s="66"/>
      <c r="E529" s="66"/>
    </row>
    <row r="530" spans="1:5" ht="13" x14ac:dyDescent="0.3">
      <c r="A530" s="66"/>
      <c r="B530" s="66"/>
      <c r="C530" s="66"/>
      <c r="D530" s="66"/>
      <c r="E530" s="66"/>
    </row>
    <row r="531" spans="1:5" ht="13" x14ac:dyDescent="0.3">
      <c r="A531" s="66"/>
      <c r="B531" s="66"/>
      <c r="C531" s="66"/>
      <c r="D531" s="66"/>
      <c r="E531" s="66"/>
    </row>
    <row r="532" spans="1:5" ht="13" x14ac:dyDescent="0.3">
      <c r="A532" s="66"/>
      <c r="B532" s="66"/>
      <c r="C532" s="66"/>
      <c r="D532" s="66"/>
      <c r="E532" s="66"/>
    </row>
    <row r="533" spans="1:5" ht="13" x14ac:dyDescent="0.3">
      <c r="A533" s="66"/>
      <c r="B533" s="66"/>
      <c r="C533" s="66"/>
      <c r="D533" s="66"/>
      <c r="E533" s="66"/>
    </row>
    <row r="534" spans="1:5" ht="13" x14ac:dyDescent="0.3">
      <c r="A534" s="66"/>
      <c r="B534" s="66"/>
      <c r="C534" s="66"/>
      <c r="D534" s="66"/>
      <c r="E534" s="66"/>
    </row>
    <row r="535" spans="1:5" ht="13" x14ac:dyDescent="0.3">
      <c r="A535" s="66"/>
      <c r="B535" s="66"/>
      <c r="C535" s="66"/>
      <c r="D535" s="66"/>
      <c r="E535" s="66"/>
    </row>
    <row r="536" spans="1:5" ht="13" x14ac:dyDescent="0.3">
      <c r="A536" s="66"/>
      <c r="B536" s="66"/>
      <c r="C536" s="66"/>
      <c r="D536" s="66"/>
      <c r="E536" s="66"/>
    </row>
    <row r="537" spans="1:5" ht="13" x14ac:dyDescent="0.3">
      <c r="A537" s="66"/>
      <c r="B537" s="66"/>
      <c r="C537" s="66"/>
      <c r="D537" s="66"/>
      <c r="E537" s="66"/>
    </row>
    <row r="538" spans="1:5" ht="13" x14ac:dyDescent="0.3">
      <c r="A538" s="66"/>
      <c r="B538" s="66"/>
      <c r="C538" s="66"/>
      <c r="D538" s="66"/>
      <c r="E538" s="66"/>
    </row>
    <row r="539" spans="1:5" ht="13" x14ac:dyDescent="0.3">
      <c r="A539" s="66"/>
      <c r="B539" s="66"/>
      <c r="C539" s="66"/>
      <c r="D539" s="66"/>
      <c r="E539" s="66"/>
    </row>
    <row r="540" spans="1:5" ht="13" x14ac:dyDescent="0.3">
      <c r="A540" s="66"/>
      <c r="B540" s="66"/>
      <c r="C540" s="66"/>
      <c r="D540" s="66"/>
      <c r="E540" s="66"/>
    </row>
    <row r="541" spans="1:5" ht="13" x14ac:dyDescent="0.3">
      <c r="A541" s="66"/>
      <c r="B541" s="66"/>
      <c r="C541" s="66"/>
      <c r="D541" s="66"/>
      <c r="E541" s="66"/>
    </row>
    <row r="542" spans="1:5" ht="13" x14ac:dyDescent="0.3">
      <c r="A542" s="66"/>
      <c r="B542" s="66"/>
      <c r="C542" s="66"/>
      <c r="D542" s="66"/>
      <c r="E542" s="66"/>
    </row>
    <row r="543" spans="1:5" ht="13" x14ac:dyDescent="0.3">
      <c r="A543" s="66"/>
      <c r="B543" s="66"/>
      <c r="C543" s="66"/>
      <c r="D543" s="66"/>
      <c r="E543" s="66"/>
    </row>
    <row r="544" spans="1:5" ht="13" x14ac:dyDescent="0.3">
      <c r="A544" s="66"/>
      <c r="B544" s="66"/>
      <c r="C544" s="66"/>
      <c r="D544" s="66"/>
      <c r="E544" s="66"/>
    </row>
    <row r="545" spans="1:5" ht="13" x14ac:dyDescent="0.3">
      <c r="A545" s="66"/>
      <c r="B545" s="66"/>
      <c r="C545" s="66"/>
      <c r="D545" s="66"/>
      <c r="E545" s="66"/>
    </row>
    <row r="546" spans="1:5" ht="13" x14ac:dyDescent="0.3">
      <c r="A546" s="66"/>
      <c r="B546" s="66"/>
      <c r="C546" s="66"/>
      <c r="D546" s="66"/>
      <c r="E546" s="66"/>
    </row>
    <row r="547" spans="1:5" ht="13" x14ac:dyDescent="0.3">
      <c r="A547" s="66"/>
      <c r="B547" s="66"/>
      <c r="C547" s="66"/>
      <c r="D547" s="66"/>
      <c r="E547" s="66"/>
    </row>
    <row r="548" spans="1:5" ht="13" x14ac:dyDescent="0.3">
      <c r="A548" s="66"/>
      <c r="B548" s="66"/>
      <c r="C548" s="66"/>
      <c r="D548" s="66"/>
      <c r="E548" s="66"/>
    </row>
    <row r="549" spans="1:5" ht="13" x14ac:dyDescent="0.3">
      <c r="A549" s="66"/>
      <c r="B549" s="66"/>
      <c r="C549" s="66"/>
      <c r="D549" s="66"/>
      <c r="E549" s="66"/>
    </row>
    <row r="550" spans="1:5" ht="13" x14ac:dyDescent="0.3">
      <c r="A550" s="66"/>
      <c r="B550" s="66"/>
      <c r="C550" s="66"/>
      <c r="D550" s="66"/>
      <c r="E550" s="66"/>
    </row>
    <row r="551" spans="1:5" ht="13" x14ac:dyDescent="0.3">
      <c r="A551" s="66"/>
      <c r="B551" s="66"/>
      <c r="C551" s="66"/>
      <c r="D551" s="66"/>
      <c r="E551" s="66"/>
    </row>
    <row r="552" spans="1:5" ht="13" x14ac:dyDescent="0.3">
      <c r="A552" s="66"/>
      <c r="B552" s="66"/>
      <c r="C552" s="66"/>
      <c r="D552" s="66"/>
      <c r="E552" s="66"/>
    </row>
    <row r="553" spans="1:5" ht="13" x14ac:dyDescent="0.3">
      <c r="A553" s="66"/>
      <c r="B553" s="66"/>
      <c r="C553" s="66"/>
      <c r="D553" s="66"/>
      <c r="E553" s="66"/>
    </row>
    <row r="554" spans="1:5" ht="13" x14ac:dyDescent="0.3">
      <c r="A554" s="66"/>
      <c r="B554" s="66"/>
      <c r="C554" s="66"/>
      <c r="D554" s="66"/>
      <c r="E554" s="66"/>
    </row>
    <row r="555" spans="1:5" ht="13" x14ac:dyDescent="0.3">
      <c r="A555" s="66"/>
      <c r="B555" s="66"/>
      <c r="C555" s="66"/>
      <c r="D555" s="66"/>
      <c r="E555" s="66"/>
    </row>
    <row r="556" spans="1:5" ht="13" x14ac:dyDescent="0.3">
      <c r="A556" s="66"/>
      <c r="B556" s="66"/>
      <c r="C556" s="66"/>
      <c r="D556" s="66"/>
      <c r="E556" s="66"/>
    </row>
    <row r="557" spans="1:5" ht="13" x14ac:dyDescent="0.3">
      <c r="A557" s="66"/>
      <c r="B557" s="66"/>
      <c r="C557" s="66"/>
      <c r="D557" s="66"/>
      <c r="E557" s="66"/>
    </row>
    <row r="558" spans="1:5" ht="13" x14ac:dyDescent="0.3">
      <c r="A558" s="66"/>
      <c r="B558" s="66"/>
      <c r="C558" s="66"/>
      <c r="D558" s="66"/>
      <c r="E558" s="66"/>
    </row>
    <row r="559" spans="1:5" ht="13" x14ac:dyDescent="0.3">
      <c r="A559" s="66"/>
      <c r="B559" s="66"/>
      <c r="C559" s="66"/>
      <c r="D559" s="66"/>
      <c r="E559" s="66"/>
    </row>
    <row r="560" spans="1:5" ht="13" x14ac:dyDescent="0.3">
      <c r="A560" s="66"/>
      <c r="B560" s="66"/>
      <c r="C560" s="66"/>
      <c r="D560" s="66"/>
      <c r="E560" s="66"/>
    </row>
    <row r="561" spans="1:5" ht="13" x14ac:dyDescent="0.3">
      <c r="A561" s="66"/>
      <c r="B561" s="66"/>
      <c r="C561" s="66"/>
      <c r="D561" s="66"/>
      <c r="E561" s="66"/>
    </row>
    <row r="562" spans="1:5" ht="13" x14ac:dyDescent="0.3">
      <c r="A562" s="66"/>
      <c r="B562" s="66"/>
      <c r="C562" s="66"/>
      <c r="D562" s="66"/>
      <c r="E562" s="66"/>
    </row>
    <row r="563" spans="1:5" ht="13" x14ac:dyDescent="0.3">
      <c r="A563" s="66"/>
      <c r="B563" s="66"/>
      <c r="C563" s="66"/>
      <c r="D563" s="66"/>
      <c r="E563" s="66"/>
    </row>
    <row r="564" spans="1:5" ht="13" x14ac:dyDescent="0.3">
      <c r="A564" s="66"/>
      <c r="B564" s="66"/>
      <c r="C564" s="66"/>
      <c r="D564" s="66"/>
      <c r="E564" s="66"/>
    </row>
    <row r="565" spans="1:5" ht="13" x14ac:dyDescent="0.3">
      <c r="A565" s="66"/>
      <c r="B565" s="66"/>
      <c r="C565" s="66"/>
      <c r="D565" s="66"/>
      <c r="E565" s="66"/>
    </row>
    <row r="566" spans="1:5" ht="13" x14ac:dyDescent="0.3">
      <c r="A566" s="66"/>
      <c r="B566" s="66"/>
      <c r="C566" s="66"/>
      <c r="D566" s="66"/>
      <c r="E566" s="66"/>
    </row>
    <row r="567" spans="1:5" ht="13" x14ac:dyDescent="0.3">
      <c r="A567" s="66"/>
      <c r="B567" s="66"/>
      <c r="C567" s="66"/>
      <c r="D567" s="66"/>
      <c r="E567" s="66"/>
    </row>
    <row r="568" spans="1:5" ht="13" x14ac:dyDescent="0.3">
      <c r="A568" s="66"/>
      <c r="B568" s="66"/>
      <c r="C568" s="66"/>
      <c r="D568" s="66"/>
      <c r="E568" s="66"/>
    </row>
    <row r="569" spans="1:5" ht="13" x14ac:dyDescent="0.3">
      <c r="A569" s="66"/>
      <c r="B569" s="66"/>
      <c r="C569" s="66"/>
      <c r="D569" s="66"/>
      <c r="E569" s="66"/>
    </row>
    <row r="570" spans="1:5" ht="13" x14ac:dyDescent="0.3">
      <c r="A570" s="66"/>
      <c r="B570" s="66"/>
      <c r="C570" s="66"/>
      <c r="D570" s="66"/>
      <c r="E570" s="66"/>
    </row>
    <row r="571" spans="1:5" ht="13" x14ac:dyDescent="0.3">
      <c r="A571" s="66"/>
      <c r="B571" s="66"/>
      <c r="C571" s="66"/>
      <c r="D571" s="66"/>
      <c r="E571" s="66"/>
    </row>
    <row r="572" spans="1:5" ht="13" x14ac:dyDescent="0.3">
      <c r="A572" s="66"/>
      <c r="B572" s="66"/>
      <c r="C572" s="66"/>
      <c r="D572" s="66"/>
      <c r="E572" s="66"/>
    </row>
    <row r="573" spans="1:5" ht="13" x14ac:dyDescent="0.3">
      <c r="A573" s="66"/>
      <c r="B573" s="66"/>
      <c r="C573" s="66"/>
      <c r="D573" s="66"/>
      <c r="E573" s="66"/>
    </row>
    <row r="574" spans="1:5" ht="13" x14ac:dyDescent="0.3">
      <c r="A574" s="66"/>
      <c r="B574" s="66"/>
      <c r="C574" s="66"/>
      <c r="D574" s="66"/>
      <c r="E574" s="66"/>
    </row>
    <row r="575" spans="1:5" ht="13" x14ac:dyDescent="0.3">
      <c r="A575" s="66"/>
      <c r="B575" s="66"/>
      <c r="C575" s="66"/>
      <c r="D575" s="66"/>
      <c r="E575" s="66"/>
    </row>
    <row r="576" spans="1:5" ht="13" x14ac:dyDescent="0.3">
      <c r="A576" s="66"/>
      <c r="B576" s="66"/>
      <c r="C576" s="66"/>
      <c r="D576" s="66"/>
      <c r="E576" s="66"/>
    </row>
    <row r="577" spans="1:5" ht="13" x14ac:dyDescent="0.3">
      <c r="A577" s="66"/>
      <c r="B577" s="66"/>
      <c r="C577" s="66"/>
      <c r="D577" s="66"/>
      <c r="E577" s="66"/>
    </row>
    <row r="578" spans="1:5" ht="13" x14ac:dyDescent="0.3">
      <c r="A578" s="66"/>
      <c r="B578" s="66"/>
      <c r="C578" s="66"/>
      <c r="D578" s="66"/>
      <c r="E578" s="66"/>
    </row>
    <row r="579" spans="1:5" ht="13" x14ac:dyDescent="0.3">
      <c r="A579" s="66"/>
      <c r="B579" s="66"/>
      <c r="C579" s="66"/>
      <c r="D579" s="66"/>
      <c r="E579" s="66"/>
    </row>
    <row r="580" spans="1:5" ht="13" x14ac:dyDescent="0.3">
      <c r="A580" s="66"/>
      <c r="B580" s="66"/>
      <c r="C580" s="66"/>
      <c r="D580" s="66"/>
      <c r="E580" s="66"/>
    </row>
    <row r="581" spans="1:5" ht="13" x14ac:dyDescent="0.3">
      <c r="A581" s="66"/>
      <c r="B581" s="66"/>
      <c r="C581" s="66"/>
      <c r="D581" s="66"/>
      <c r="E581" s="66"/>
    </row>
    <row r="582" spans="1:5" ht="13" x14ac:dyDescent="0.3">
      <c r="A582" s="66"/>
      <c r="B582" s="66"/>
      <c r="C582" s="66"/>
      <c r="D582" s="66"/>
      <c r="E582" s="66"/>
    </row>
    <row r="583" spans="1:5" ht="13" x14ac:dyDescent="0.3">
      <c r="A583" s="66"/>
      <c r="B583" s="66"/>
      <c r="C583" s="66"/>
      <c r="D583" s="66"/>
      <c r="E583" s="66"/>
    </row>
    <row r="584" spans="1:5" ht="13" x14ac:dyDescent="0.3">
      <c r="A584" s="66"/>
      <c r="B584" s="66"/>
      <c r="C584" s="66"/>
      <c r="D584" s="66"/>
      <c r="E584" s="66"/>
    </row>
    <row r="585" spans="1:5" ht="13" x14ac:dyDescent="0.3">
      <c r="A585" s="66"/>
      <c r="B585" s="66"/>
      <c r="C585" s="66"/>
      <c r="D585" s="66"/>
      <c r="E585" s="66"/>
    </row>
    <row r="586" spans="1:5" ht="13" x14ac:dyDescent="0.3">
      <c r="A586" s="66"/>
      <c r="B586" s="66"/>
      <c r="C586" s="66"/>
      <c r="D586" s="66"/>
      <c r="E586" s="66"/>
    </row>
    <row r="587" spans="1:5" ht="13" x14ac:dyDescent="0.3">
      <c r="A587" s="66"/>
      <c r="B587" s="66"/>
      <c r="C587" s="66"/>
      <c r="D587" s="66"/>
      <c r="E587" s="66"/>
    </row>
    <row r="588" spans="1:5" ht="13" x14ac:dyDescent="0.3">
      <c r="A588" s="66"/>
      <c r="B588" s="66"/>
      <c r="C588" s="66"/>
      <c r="D588" s="66"/>
      <c r="E588" s="66"/>
    </row>
    <row r="589" spans="1:5" ht="13" x14ac:dyDescent="0.3">
      <c r="A589" s="66"/>
      <c r="B589" s="66"/>
      <c r="C589" s="66"/>
      <c r="D589" s="66"/>
      <c r="E589" s="66"/>
    </row>
    <row r="590" spans="1:5" ht="13" x14ac:dyDescent="0.3">
      <c r="A590" s="66"/>
      <c r="B590" s="66"/>
      <c r="C590" s="66"/>
      <c r="D590" s="66"/>
      <c r="E590" s="66"/>
    </row>
    <row r="591" spans="1:5" ht="13" x14ac:dyDescent="0.3">
      <c r="A591" s="66"/>
      <c r="B591" s="66"/>
      <c r="C591" s="66"/>
      <c r="D591" s="66"/>
      <c r="E591" s="66"/>
    </row>
    <row r="592" spans="1:5" ht="13" x14ac:dyDescent="0.3">
      <c r="A592" s="66"/>
      <c r="B592" s="66"/>
      <c r="C592" s="66"/>
      <c r="D592" s="66"/>
      <c r="E592" s="66"/>
    </row>
    <row r="593" spans="1:5" ht="13" x14ac:dyDescent="0.3">
      <c r="A593" s="66"/>
      <c r="B593" s="66"/>
      <c r="C593" s="66"/>
      <c r="D593" s="66"/>
      <c r="E593" s="66"/>
    </row>
    <row r="594" spans="1:5" ht="13" x14ac:dyDescent="0.3">
      <c r="A594" s="66"/>
      <c r="B594" s="66"/>
      <c r="C594" s="66"/>
      <c r="D594" s="66"/>
      <c r="E594" s="66"/>
    </row>
    <row r="595" spans="1:5" ht="13" x14ac:dyDescent="0.3">
      <c r="A595" s="66"/>
      <c r="B595" s="66"/>
      <c r="C595" s="66"/>
      <c r="D595" s="66"/>
      <c r="E595" s="66"/>
    </row>
    <row r="596" spans="1:5" ht="13" x14ac:dyDescent="0.3">
      <c r="A596" s="66"/>
      <c r="B596" s="66"/>
      <c r="C596" s="66"/>
      <c r="D596" s="66"/>
      <c r="E596" s="66"/>
    </row>
    <row r="597" spans="1:5" ht="13" x14ac:dyDescent="0.3">
      <c r="A597" s="66"/>
      <c r="B597" s="66"/>
      <c r="C597" s="66"/>
      <c r="D597" s="66"/>
      <c r="E597" s="66"/>
    </row>
    <row r="598" spans="1:5" ht="13" x14ac:dyDescent="0.3">
      <c r="A598" s="66"/>
      <c r="B598" s="66"/>
      <c r="C598" s="66"/>
      <c r="D598" s="66"/>
      <c r="E598" s="66"/>
    </row>
    <row r="599" spans="1:5" ht="13" x14ac:dyDescent="0.3">
      <c r="A599" s="66"/>
      <c r="B599" s="66"/>
      <c r="C599" s="66"/>
      <c r="D599" s="66"/>
      <c r="E599" s="66"/>
    </row>
    <row r="600" spans="1:5" ht="13" x14ac:dyDescent="0.3">
      <c r="A600" s="66"/>
      <c r="B600" s="66"/>
      <c r="C600" s="66"/>
      <c r="D600" s="66"/>
      <c r="E600" s="66"/>
    </row>
    <row r="601" spans="1:5" ht="13" x14ac:dyDescent="0.3">
      <c r="A601" s="66"/>
      <c r="B601" s="66"/>
      <c r="C601" s="66"/>
      <c r="D601" s="66"/>
      <c r="E601" s="66"/>
    </row>
    <row r="602" spans="1:5" ht="13" x14ac:dyDescent="0.3">
      <c r="A602" s="66"/>
      <c r="B602" s="66"/>
      <c r="C602" s="66"/>
      <c r="D602" s="66"/>
      <c r="E602" s="66"/>
    </row>
    <row r="603" spans="1:5" ht="13" x14ac:dyDescent="0.3">
      <c r="A603" s="66"/>
      <c r="B603" s="66"/>
      <c r="C603" s="66"/>
      <c r="D603" s="66"/>
      <c r="E603" s="66"/>
    </row>
    <row r="604" spans="1:5" ht="13" x14ac:dyDescent="0.3">
      <c r="A604" s="66"/>
      <c r="B604" s="66"/>
      <c r="C604" s="66"/>
      <c r="D604" s="66"/>
      <c r="E604" s="66"/>
    </row>
    <row r="605" spans="1:5" ht="13" x14ac:dyDescent="0.3">
      <c r="A605" s="66"/>
      <c r="B605" s="66"/>
      <c r="C605" s="66"/>
      <c r="D605" s="66"/>
      <c r="E605" s="66"/>
    </row>
    <row r="606" spans="1:5" ht="13" x14ac:dyDescent="0.3">
      <c r="A606" s="66"/>
      <c r="B606" s="66"/>
      <c r="C606" s="66"/>
      <c r="D606" s="66"/>
      <c r="E606" s="66"/>
    </row>
    <row r="607" spans="1:5" ht="13" x14ac:dyDescent="0.3">
      <c r="A607" s="66"/>
      <c r="B607" s="66"/>
      <c r="C607" s="66"/>
      <c r="D607" s="66"/>
      <c r="E607" s="66"/>
    </row>
    <row r="608" spans="1:5" ht="13" x14ac:dyDescent="0.3">
      <c r="A608" s="66"/>
      <c r="B608" s="66"/>
      <c r="C608" s="66"/>
      <c r="D608" s="66"/>
      <c r="E608" s="66"/>
    </row>
    <row r="609" spans="1:5" ht="13" x14ac:dyDescent="0.3">
      <c r="A609" s="66"/>
      <c r="B609" s="66"/>
      <c r="C609" s="66"/>
      <c r="D609" s="66"/>
      <c r="E609" s="66"/>
    </row>
    <row r="610" spans="1:5" ht="13" x14ac:dyDescent="0.3">
      <c r="A610" s="66"/>
      <c r="B610" s="66"/>
      <c r="C610" s="66"/>
      <c r="D610" s="66"/>
      <c r="E610" s="66"/>
    </row>
    <row r="611" spans="1:5" ht="13" x14ac:dyDescent="0.3">
      <c r="A611" s="66"/>
      <c r="B611" s="66"/>
      <c r="C611" s="66"/>
      <c r="D611" s="66"/>
      <c r="E611" s="66"/>
    </row>
    <row r="612" spans="1:5" ht="13" x14ac:dyDescent="0.3">
      <c r="A612" s="66"/>
      <c r="B612" s="66"/>
      <c r="C612" s="66"/>
      <c r="D612" s="66"/>
      <c r="E612" s="66"/>
    </row>
    <row r="613" spans="1:5" ht="13" x14ac:dyDescent="0.3">
      <c r="A613" s="66"/>
      <c r="B613" s="66"/>
      <c r="C613" s="66"/>
      <c r="D613" s="66"/>
      <c r="E613" s="66"/>
    </row>
    <row r="614" spans="1:5" ht="13" x14ac:dyDescent="0.3">
      <c r="A614" s="66"/>
      <c r="B614" s="66"/>
      <c r="C614" s="66"/>
      <c r="D614" s="66"/>
      <c r="E614" s="66"/>
    </row>
    <row r="615" spans="1:5" ht="13" x14ac:dyDescent="0.3">
      <c r="A615" s="66"/>
      <c r="B615" s="66"/>
      <c r="C615" s="66"/>
      <c r="D615" s="66"/>
      <c r="E615" s="66"/>
    </row>
    <row r="616" spans="1:5" ht="13" x14ac:dyDescent="0.3">
      <c r="A616" s="66"/>
      <c r="B616" s="66"/>
      <c r="C616" s="66"/>
      <c r="D616" s="66"/>
      <c r="E616" s="66"/>
    </row>
    <row r="617" spans="1:5" ht="13" x14ac:dyDescent="0.3">
      <c r="A617" s="66"/>
      <c r="B617" s="66"/>
      <c r="C617" s="66"/>
      <c r="D617" s="66"/>
      <c r="E617" s="66"/>
    </row>
    <row r="618" spans="1:5" ht="13" x14ac:dyDescent="0.3">
      <c r="A618" s="66"/>
      <c r="B618" s="66"/>
      <c r="C618" s="66"/>
      <c r="D618" s="66"/>
      <c r="E618" s="66"/>
    </row>
    <row r="619" spans="1:5" ht="13" x14ac:dyDescent="0.3">
      <c r="A619" s="66"/>
      <c r="B619" s="66"/>
      <c r="C619" s="66"/>
      <c r="D619" s="66"/>
      <c r="E619" s="66"/>
    </row>
    <row r="620" spans="1:5" ht="13" x14ac:dyDescent="0.3">
      <c r="A620" s="66"/>
      <c r="B620" s="66"/>
      <c r="C620" s="66"/>
      <c r="D620" s="66"/>
      <c r="E620" s="66"/>
    </row>
    <row r="621" spans="1:5" ht="13" x14ac:dyDescent="0.3">
      <c r="A621" s="66"/>
      <c r="B621" s="66"/>
      <c r="C621" s="66"/>
      <c r="D621" s="66"/>
      <c r="E621" s="66"/>
    </row>
    <row r="622" spans="1:5" ht="13" x14ac:dyDescent="0.3">
      <c r="A622" s="66"/>
      <c r="B622" s="66"/>
      <c r="C622" s="66"/>
      <c r="D622" s="66"/>
      <c r="E622" s="66"/>
    </row>
    <row r="623" spans="1:5" ht="13" x14ac:dyDescent="0.3">
      <c r="A623" s="66"/>
      <c r="B623" s="66"/>
      <c r="C623" s="66"/>
      <c r="D623" s="66"/>
      <c r="E623" s="66"/>
    </row>
    <row r="624" spans="1:5" ht="13" x14ac:dyDescent="0.3">
      <c r="A624" s="66"/>
      <c r="B624" s="66"/>
      <c r="C624" s="66"/>
      <c r="D624" s="66"/>
      <c r="E624" s="66"/>
    </row>
    <row r="625" spans="1:5" ht="13" x14ac:dyDescent="0.3">
      <c r="A625" s="66"/>
      <c r="B625" s="66"/>
      <c r="C625" s="66"/>
      <c r="D625" s="66"/>
      <c r="E625" s="66"/>
    </row>
    <row r="626" spans="1:5" ht="13" x14ac:dyDescent="0.3">
      <c r="A626" s="66"/>
      <c r="B626" s="66"/>
      <c r="C626" s="66"/>
      <c r="D626" s="66"/>
      <c r="E626" s="66"/>
    </row>
    <row r="627" spans="1:5" ht="13" x14ac:dyDescent="0.3">
      <c r="A627" s="66"/>
      <c r="B627" s="66"/>
      <c r="C627" s="66"/>
      <c r="D627" s="66"/>
      <c r="E627" s="66"/>
    </row>
    <row r="628" spans="1:5" ht="13" x14ac:dyDescent="0.3">
      <c r="A628" s="66"/>
      <c r="B628" s="66"/>
      <c r="C628" s="66"/>
      <c r="D628" s="66"/>
      <c r="E628" s="66"/>
    </row>
    <row r="629" spans="1:5" ht="13" x14ac:dyDescent="0.3">
      <c r="A629" s="66"/>
      <c r="B629" s="66"/>
      <c r="C629" s="66"/>
      <c r="D629" s="66"/>
      <c r="E629" s="66"/>
    </row>
    <row r="630" spans="1:5" ht="13" x14ac:dyDescent="0.3">
      <c r="A630" s="66"/>
      <c r="B630" s="66"/>
      <c r="C630" s="66"/>
      <c r="D630" s="66"/>
      <c r="E630" s="66"/>
    </row>
    <row r="631" spans="1:5" ht="13" x14ac:dyDescent="0.3">
      <c r="A631" s="66"/>
      <c r="B631" s="66"/>
      <c r="C631" s="66"/>
      <c r="D631" s="66"/>
      <c r="E631" s="66"/>
    </row>
    <row r="632" spans="1:5" ht="13" x14ac:dyDescent="0.3">
      <c r="A632" s="66"/>
      <c r="B632" s="66"/>
      <c r="C632" s="66"/>
      <c r="D632" s="66"/>
      <c r="E632" s="66"/>
    </row>
    <row r="633" spans="1:5" ht="13" x14ac:dyDescent="0.3">
      <c r="A633" s="66"/>
      <c r="B633" s="66"/>
      <c r="C633" s="66"/>
      <c r="D633" s="66"/>
      <c r="E633" s="66"/>
    </row>
    <row r="634" spans="1:5" ht="13" x14ac:dyDescent="0.3">
      <c r="A634" s="66"/>
      <c r="B634" s="66"/>
      <c r="C634" s="66"/>
      <c r="D634" s="66"/>
      <c r="E634" s="66"/>
    </row>
    <row r="635" spans="1:5" ht="13" x14ac:dyDescent="0.3">
      <c r="A635" s="66"/>
      <c r="B635" s="66"/>
      <c r="C635" s="66"/>
      <c r="D635" s="66"/>
      <c r="E635" s="66"/>
    </row>
    <row r="636" spans="1:5" ht="13" x14ac:dyDescent="0.3">
      <c r="A636" s="66"/>
      <c r="B636" s="66"/>
      <c r="C636" s="66"/>
      <c r="D636" s="66"/>
      <c r="E636" s="66"/>
    </row>
    <row r="637" spans="1:5" ht="13" x14ac:dyDescent="0.3">
      <c r="A637" s="66"/>
      <c r="B637" s="66"/>
      <c r="C637" s="66"/>
      <c r="D637" s="66"/>
      <c r="E637" s="66"/>
    </row>
    <row r="638" spans="1:5" ht="13" x14ac:dyDescent="0.3">
      <c r="A638" s="66"/>
      <c r="B638" s="66"/>
      <c r="C638" s="66"/>
      <c r="D638" s="66"/>
      <c r="E638" s="66"/>
    </row>
    <row r="639" spans="1:5" ht="13" x14ac:dyDescent="0.3">
      <c r="A639" s="66"/>
      <c r="B639" s="66"/>
      <c r="C639" s="66"/>
      <c r="D639" s="66"/>
      <c r="E639" s="66"/>
    </row>
    <row r="640" spans="1:5" ht="13" x14ac:dyDescent="0.3">
      <c r="A640" s="66"/>
      <c r="B640" s="66"/>
      <c r="C640" s="66"/>
      <c r="D640" s="66"/>
      <c r="E640" s="66"/>
    </row>
    <row r="641" spans="1:5" ht="13" x14ac:dyDescent="0.3">
      <c r="A641" s="66"/>
      <c r="B641" s="66"/>
      <c r="C641" s="66"/>
      <c r="D641" s="66"/>
      <c r="E641" s="66"/>
    </row>
    <row r="642" spans="1:5" ht="13" x14ac:dyDescent="0.3">
      <c r="A642" s="66"/>
      <c r="B642" s="66"/>
      <c r="C642" s="66"/>
      <c r="D642" s="66"/>
      <c r="E642" s="66"/>
    </row>
    <row r="643" spans="1:5" ht="13" x14ac:dyDescent="0.3">
      <c r="A643" s="66"/>
      <c r="B643" s="66"/>
      <c r="C643" s="66"/>
      <c r="D643" s="66"/>
      <c r="E643" s="66"/>
    </row>
    <row r="644" spans="1:5" ht="13" x14ac:dyDescent="0.3">
      <c r="A644" s="66"/>
      <c r="B644" s="66"/>
      <c r="C644" s="66"/>
      <c r="D644" s="66"/>
      <c r="E644" s="66"/>
    </row>
    <row r="645" spans="1:5" ht="13" x14ac:dyDescent="0.3">
      <c r="A645" s="66"/>
      <c r="B645" s="66"/>
      <c r="C645" s="66"/>
      <c r="D645" s="66"/>
      <c r="E645" s="66"/>
    </row>
    <row r="646" spans="1:5" ht="13" x14ac:dyDescent="0.3">
      <c r="A646" s="66"/>
      <c r="B646" s="66"/>
      <c r="C646" s="66"/>
      <c r="D646" s="66"/>
      <c r="E646" s="66"/>
    </row>
    <row r="647" spans="1:5" ht="13" x14ac:dyDescent="0.3">
      <c r="A647" s="66"/>
      <c r="B647" s="66"/>
      <c r="C647" s="66"/>
      <c r="D647" s="66"/>
      <c r="E647" s="66"/>
    </row>
    <row r="648" spans="1:5" ht="13" x14ac:dyDescent="0.3">
      <c r="A648" s="66"/>
      <c r="B648" s="66"/>
      <c r="C648" s="66"/>
      <c r="D648" s="66"/>
      <c r="E648" s="66"/>
    </row>
    <row r="649" spans="1:5" ht="13" x14ac:dyDescent="0.3">
      <c r="A649" s="66"/>
      <c r="B649" s="66"/>
      <c r="C649" s="66"/>
      <c r="D649" s="66"/>
      <c r="E649" s="66"/>
    </row>
    <row r="650" spans="1:5" ht="13" x14ac:dyDescent="0.3">
      <c r="A650" s="66"/>
      <c r="B650" s="66"/>
      <c r="C650" s="66"/>
      <c r="D650" s="66"/>
      <c r="E650" s="66"/>
    </row>
    <row r="651" spans="1:5" ht="13" x14ac:dyDescent="0.3">
      <c r="A651" s="66"/>
      <c r="B651" s="66"/>
      <c r="C651" s="66"/>
      <c r="D651" s="66"/>
      <c r="E651" s="66"/>
    </row>
    <row r="652" spans="1:5" ht="13" x14ac:dyDescent="0.3">
      <c r="A652" s="66"/>
      <c r="B652" s="66"/>
      <c r="C652" s="66"/>
      <c r="D652" s="66"/>
      <c r="E652" s="66"/>
    </row>
    <row r="653" spans="1:5" ht="13" x14ac:dyDescent="0.3">
      <c r="A653" s="66"/>
      <c r="B653" s="66"/>
      <c r="C653" s="66"/>
      <c r="D653" s="66"/>
      <c r="E653" s="66"/>
    </row>
    <row r="654" spans="1:5" ht="13" x14ac:dyDescent="0.3">
      <c r="A654" s="66"/>
      <c r="B654" s="66"/>
      <c r="C654" s="66"/>
      <c r="D654" s="66"/>
      <c r="E654" s="66"/>
    </row>
    <row r="655" spans="1:5" ht="13" x14ac:dyDescent="0.3">
      <c r="A655" s="66"/>
      <c r="B655" s="66"/>
      <c r="C655" s="66"/>
      <c r="D655" s="66"/>
      <c r="E655" s="66"/>
    </row>
    <row r="656" spans="1:5" ht="13" x14ac:dyDescent="0.3">
      <c r="A656" s="66"/>
      <c r="B656" s="66"/>
      <c r="C656" s="66"/>
      <c r="D656" s="66"/>
      <c r="E656" s="66"/>
    </row>
    <row r="657" spans="1:5" ht="13" x14ac:dyDescent="0.3">
      <c r="A657" s="66"/>
      <c r="B657" s="66"/>
      <c r="C657" s="66"/>
      <c r="D657" s="66"/>
      <c r="E657" s="66"/>
    </row>
    <row r="658" spans="1:5" ht="13" x14ac:dyDescent="0.3">
      <c r="A658" s="66"/>
      <c r="B658" s="66"/>
      <c r="C658" s="66"/>
      <c r="D658" s="66"/>
      <c r="E658" s="66"/>
    </row>
    <row r="659" spans="1:5" ht="13" x14ac:dyDescent="0.3">
      <c r="A659" s="66"/>
      <c r="B659" s="66"/>
      <c r="C659" s="66"/>
      <c r="D659" s="66"/>
      <c r="E659" s="66"/>
    </row>
    <row r="660" spans="1:5" ht="13" x14ac:dyDescent="0.3">
      <c r="A660" s="66"/>
      <c r="B660" s="66"/>
      <c r="C660" s="66"/>
      <c r="D660" s="66"/>
      <c r="E660" s="66"/>
    </row>
    <row r="661" spans="1:5" ht="13" x14ac:dyDescent="0.3">
      <c r="A661" s="66"/>
      <c r="B661" s="66"/>
      <c r="C661" s="66"/>
      <c r="D661" s="66"/>
      <c r="E661" s="66"/>
    </row>
    <row r="662" spans="1:5" ht="13" x14ac:dyDescent="0.3">
      <c r="A662" s="66"/>
      <c r="B662" s="66"/>
      <c r="C662" s="66"/>
      <c r="D662" s="66"/>
      <c r="E662" s="66"/>
    </row>
    <row r="663" spans="1:5" ht="13" x14ac:dyDescent="0.3">
      <c r="A663" s="66"/>
      <c r="B663" s="66"/>
      <c r="C663" s="66"/>
      <c r="D663" s="66"/>
      <c r="E663" s="66"/>
    </row>
    <row r="664" spans="1:5" ht="13" x14ac:dyDescent="0.3">
      <c r="A664" s="66"/>
      <c r="B664" s="66"/>
      <c r="C664" s="66"/>
      <c r="D664" s="66"/>
      <c r="E664" s="66"/>
    </row>
    <row r="665" spans="1:5" ht="13" x14ac:dyDescent="0.3">
      <c r="A665" s="66"/>
      <c r="B665" s="66"/>
      <c r="C665" s="66"/>
      <c r="D665" s="66"/>
      <c r="E665" s="66"/>
    </row>
    <row r="666" spans="1:5" ht="13" x14ac:dyDescent="0.3">
      <c r="A666" s="66"/>
      <c r="B666" s="66"/>
      <c r="C666" s="66"/>
      <c r="D666" s="66"/>
      <c r="E666" s="66"/>
    </row>
    <row r="667" spans="1:5" ht="13" x14ac:dyDescent="0.3">
      <c r="A667" s="66"/>
      <c r="B667" s="66"/>
      <c r="C667" s="66"/>
      <c r="D667" s="66"/>
      <c r="E667" s="66"/>
    </row>
    <row r="668" spans="1:5" ht="13" x14ac:dyDescent="0.3">
      <c r="A668" s="66"/>
      <c r="B668" s="66"/>
      <c r="C668" s="66"/>
      <c r="D668" s="66"/>
      <c r="E668" s="66"/>
    </row>
    <row r="669" spans="1:5" ht="13" x14ac:dyDescent="0.3">
      <c r="A669" s="66"/>
      <c r="B669" s="66"/>
      <c r="C669" s="66"/>
      <c r="D669" s="66"/>
      <c r="E669" s="66"/>
    </row>
    <row r="670" spans="1:5" ht="13" x14ac:dyDescent="0.3">
      <c r="A670" s="66"/>
      <c r="B670" s="66"/>
      <c r="C670" s="66"/>
      <c r="D670" s="66"/>
      <c r="E670" s="66"/>
    </row>
    <row r="671" spans="1:5" ht="13" x14ac:dyDescent="0.3">
      <c r="A671" s="66"/>
      <c r="B671" s="66"/>
      <c r="C671" s="66"/>
      <c r="D671" s="66"/>
      <c r="E671" s="66"/>
    </row>
    <row r="672" spans="1:5" ht="13" x14ac:dyDescent="0.3">
      <c r="A672" s="66"/>
      <c r="B672" s="66"/>
      <c r="C672" s="66"/>
      <c r="D672" s="66"/>
      <c r="E672" s="66"/>
    </row>
    <row r="673" spans="1:5" ht="13" x14ac:dyDescent="0.3">
      <c r="A673" s="66"/>
      <c r="B673" s="66"/>
      <c r="C673" s="66"/>
      <c r="D673" s="66"/>
      <c r="E673" s="66"/>
    </row>
    <row r="674" spans="1:5" ht="13" x14ac:dyDescent="0.3">
      <c r="A674" s="66"/>
      <c r="B674" s="66"/>
      <c r="C674" s="66"/>
      <c r="D674" s="66"/>
      <c r="E674" s="66"/>
    </row>
    <row r="675" spans="1:5" ht="13" x14ac:dyDescent="0.3">
      <c r="A675" s="66"/>
      <c r="B675" s="66"/>
      <c r="C675" s="66"/>
      <c r="D675" s="66"/>
      <c r="E675" s="66"/>
    </row>
    <row r="676" spans="1:5" ht="13" x14ac:dyDescent="0.3">
      <c r="A676" s="66"/>
      <c r="B676" s="66"/>
      <c r="C676" s="66"/>
      <c r="D676" s="66"/>
      <c r="E676" s="66"/>
    </row>
    <row r="677" spans="1:5" ht="13" x14ac:dyDescent="0.3">
      <c r="A677" s="66"/>
      <c r="B677" s="66"/>
      <c r="C677" s="66"/>
      <c r="D677" s="66"/>
      <c r="E677" s="66"/>
    </row>
    <row r="678" spans="1:5" ht="13" x14ac:dyDescent="0.3">
      <c r="A678" s="66"/>
      <c r="B678" s="66"/>
      <c r="C678" s="66"/>
      <c r="D678" s="66"/>
      <c r="E678" s="66"/>
    </row>
    <row r="679" spans="1:5" ht="13" x14ac:dyDescent="0.3">
      <c r="A679" s="66"/>
      <c r="B679" s="66"/>
      <c r="C679" s="66"/>
      <c r="D679" s="66"/>
      <c r="E679" s="66"/>
    </row>
    <row r="680" spans="1:5" ht="13" x14ac:dyDescent="0.3">
      <c r="A680" s="66"/>
      <c r="B680" s="66"/>
      <c r="C680" s="66"/>
      <c r="D680" s="66"/>
      <c r="E680" s="66"/>
    </row>
    <row r="681" spans="1:5" ht="13" x14ac:dyDescent="0.3">
      <c r="A681" s="66"/>
      <c r="B681" s="66"/>
      <c r="C681" s="66"/>
      <c r="D681" s="66"/>
      <c r="E681" s="66"/>
    </row>
    <row r="682" spans="1:5" ht="13" x14ac:dyDescent="0.3">
      <c r="A682" s="66"/>
      <c r="B682" s="66"/>
      <c r="C682" s="66"/>
      <c r="D682" s="66"/>
      <c r="E682" s="66"/>
    </row>
    <row r="683" spans="1:5" ht="13" x14ac:dyDescent="0.3">
      <c r="A683" s="66"/>
      <c r="B683" s="66"/>
      <c r="C683" s="66"/>
      <c r="D683" s="66"/>
      <c r="E683" s="66"/>
    </row>
    <row r="684" spans="1:5" ht="13" x14ac:dyDescent="0.3">
      <c r="A684" s="66"/>
      <c r="B684" s="66"/>
      <c r="C684" s="66"/>
      <c r="D684" s="66"/>
      <c r="E684" s="66"/>
    </row>
    <row r="685" spans="1:5" ht="13" x14ac:dyDescent="0.3">
      <c r="A685" s="66"/>
      <c r="B685" s="66"/>
      <c r="C685" s="66"/>
      <c r="D685" s="66"/>
      <c r="E685" s="66"/>
    </row>
    <row r="686" spans="1:5" ht="13" x14ac:dyDescent="0.3">
      <c r="A686" s="66"/>
      <c r="B686" s="66"/>
      <c r="C686" s="66"/>
      <c r="D686" s="66"/>
      <c r="E686" s="66"/>
    </row>
    <row r="687" spans="1:5" ht="13" x14ac:dyDescent="0.3">
      <c r="A687" s="66"/>
      <c r="B687" s="66"/>
      <c r="C687" s="66"/>
      <c r="D687" s="66"/>
      <c r="E687" s="66"/>
    </row>
    <row r="688" spans="1:5" ht="13" x14ac:dyDescent="0.3">
      <c r="A688" s="66"/>
      <c r="B688" s="66"/>
      <c r="C688" s="66"/>
      <c r="D688" s="66"/>
      <c r="E688" s="66"/>
    </row>
    <row r="689" spans="1:5" ht="13" x14ac:dyDescent="0.3">
      <c r="A689" s="66"/>
      <c r="B689" s="66"/>
      <c r="C689" s="66"/>
      <c r="D689" s="66"/>
      <c r="E689" s="66"/>
    </row>
    <row r="690" spans="1:5" ht="13" x14ac:dyDescent="0.3">
      <c r="A690" s="66"/>
      <c r="B690" s="66"/>
      <c r="C690" s="66"/>
      <c r="D690" s="66"/>
      <c r="E690" s="66"/>
    </row>
    <row r="691" spans="1:5" ht="13" x14ac:dyDescent="0.3">
      <c r="A691" s="66"/>
      <c r="B691" s="66"/>
      <c r="C691" s="66"/>
      <c r="D691" s="66"/>
      <c r="E691" s="66"/>
    </row>
    <row r="692" spans="1:5" ht="13" x14ac:dyDescent="0.3">
      <c r="A692" s="66"/>
      <c r="B692" s="66"/>
      <c r="C692" s="66"/>
      <c r="D692" s="66"/>
      <c r="E692" s="66"/>
    </row>
    <row r="693" spans="1:5" ht="13" x14ac:dyDescent="0.3">
      <c r="A693" s="66"/>
      <c r="B693" s="66"/>
      <c r="C693" s="66"/>
      <c r="D693" s="66"/>
      <c r="E693" s="66"/>
    </row>
    <row r="694" spans="1:5" ht="13" x14ac:dyDescent="0.3">
      <c r="A694" s="66"/>
      <c r="B694" s="66"/>
      <c r="C694" s="66"/>
      <c r="D694" s="66"/>
      <c r="E694" s="66"/>
    </row>
    <row r="695" spans="1:5" ht="13" x14ac:dyDescent="0.3">
      <c r="A695" s="66"/>
      <c r="B695" s="66"/>
      <c r="C695" s="66"/>
      <c r="D695" s="66"/>
      <c r="E695" s="66"/>
    </row>
    <row r="696" spans="1:5" ht="13" x14ac:dyDescent="0.3">
      <c r="A696" s="66"/>
      <c r="B696" s="66"/>
      <c r="C696" s="66"/>
      <c r="D696" s="66"/>
      <c r="E696" s="66"/>
    </row>
    <row r="697" spans="1:5" ht="13" x14ac:dyDescent="0.3">
      <c r="A697" s="66"/>
      <c r="B697" s="66"/>
      <c r="C697" s="66"/>
      <c r="D697" s="66"/>
      <c r="E697" s="66"/>
    </row>
    <row r="698" spans="1:5" ht="13" x14ac:dyDescent="0.3">
      <c r="A698" s="66"/>
      <c r="B698" s="66"/>
      <c r="C698" s="66"/>
      <c r="D698" s="66"/>
      <c r="E698" s="66"/>
    </row>
    <row r="699" spans="1:5" ht="13" x14ac:dyDescent="0.3">
      <c r="A699" s="66"/>
      <c r="B699" s="66"/>
      <c r="C699" s="66"/>
      <c r="D699" s="66"/>
      <c r="E699" s="66"/>
    </row>
    <row r="700" spans="1:5" ht="13" x14ac:dyDescent="0.3">
      <c r="A700" s="66"/>
      <c r="B700" s="66"/>
      <c r="C700" s="66"/>
      <c r="D700" s="66"/>
      <c r="E700" s="66"/>
    </row>
    <row r="701" spans="1:5" ht="13" x14ac:dyDescent="0.3">
      <c r="A701" s="66"/>
      <c r="B701" s="66"/>
      <c r="C701" s="66"/>
      <c r="D701" s="66"/>
      <c r="E701" s="66"/>
    </row>
    <row r="702" spans="1:5" ht="13" x14ac:dyDescent="0.3">
      <c r="A702" s="66"/>
      <c r="B702" s="66"/>
      <c r="C702" s="66"/>
      <c r="D702" s="66"/>
      <c r="E702" s="66"/>
    </row>
    <row r="703" spans="1:5" ht="13" x14ac:dyDescent="0.3">
      <c r="A703" s="66"/>
      <c r="B703" s="66"/>
      <c r="C703" s="66"/>
      <c r="D703" s="66"/>
      <c r="E703" s="66"/>
    </row>
    <row r="704" spans="1:5" ht="13" x14ac:dyDescent="0.3">
      <c r="A704" s="66"/>
      <c r="B704" s="66"/>
      <c r="C704" s="66"/>
      <c r="D704" s="66"/>
      <c r="E704" s="66"/>
    </row>
    <row r="705" spans="1:5" ht="13" x14ac:dyDescent="0.3">
      <c r="A705" s="66"/>
      <c r="B705" s="66"/>
      <c r="C705" s="66"/>
      <c r="D705" s="66"/>
      <c r="E705" s="66"/>
    </row>
    <row r="706" spans="1:5" ht="13" x14ac:dyDescent="0.3">
      <c r="A706" s="66"/>
      <c r="B706" s="66"/>
      <c r="C706" s="66"/>
      <c r="D706" s="66"/>
      <c r="E706" s="66"/>
    </row>
    <row r="707" spans="1:5" ht="13" x14ac:dyDescent="0.3">
      <c r="A707" s="66"/>
      <c r="B707" s="66"/>
      <c r="C707" s="66"/>
      <c r="D707" s="66"/>
      <c r="E707" s="66"/>
    </row>
    <row r="708" spans="1:5" ht="13" x14ac:dyDescent="0.3">
      <c r="A708" s="66"/>
      <c r="B708" s="66"/>
      <c r="C708" s="66"/>
      <c r="D708" s="66"/>
      <c r="E708" s="66"/>
    </row>
    <row r="709" spans="1:5" ht="13" x14ac:dyDescent="0.3">
      <c r="A709" s="66"/>
      <c r="B709" s="66"/>
      <c r="C709" s="66"/>
      <c r="D709" s="66"/>
      <c r="E709" s="66"/>
    </row>
    <row r="710" spans="1:5" ht="13" x14ac:dyDescent="0.3">
      <c r="A710" s="66"/>
      <c r="B710" s="66"/>
      <c r="C710" s="66"/>
      <c r="D710" s="66"/>
      <c r="E710" s="66"/>
    </row>
    <row r="711" spans="1:5" ht="13" x14ac:dyDescent="0.3">
      <c r="A711" s="66"/>
      <c r="B711" s="66"/>
      <c r="C711" s="66"/>
      <c r="D711" s="66"/>
      <c r="E711" s="66"/>
    </row>
    <row r="712" spans="1:5" ht="13" x14ac:dyDescent="0.3">
      <c r="A712" s="66"/>
      <c r="B712" s="66"/>
      <c r="C712" s="66"/>
      <c r="D712" s="66"/>
      <c r="E712" s="66"/>
    </row>
    <row r="713" spans="1:5" ht="13" x14ac:dyDescent="0.3">
      <c r="A713" s="66"/>
      <c r="B713" s="66"/>
      <c r="C713" s="66"/>
      <c r="D713" s="66"/>
      <c r="E713" s="66"/>
    </row>
    <row r="714" spans="1:5" ht="13" x14ac:dyDescent="0.3">
      <c r="A714" s="66"/>
      <c r="B714" s="66"/>
      <c r="C714" s="66"/>
      <c r="D714" s="66"/>
      <c r="E714" s="66"/>
    </row>
    <row r="715" spans="1:5" ht="13" x14ac:dyDescent="0.3">
      <c r="A715" s="66"/>
      <c r="B715" s="66"/>
      <c r="C715" s="66"/>
      <c r="D715" s="66"/>
      <c r="E715" s="66"/>
    </row>
    <row r="716" spans="1:5" ht="13" x14ac:dyDescent="0.3">
      <c r="A716" s="66"/>
      <c r="B716" s="66"/>
      <c r="C716" s="66"/>
      <c r="D716" s="66"/>
      <c r="E716" s="66"/>
    </row>
    <row r="717" spans="1:5" ht="13" x14ac:dyDescent="0.3">
      <c r="A717" s="66"/>
      <c r="B717" s="66"/>
      <c r="C717" s="66"/>
      <c r="D717" s="66"/>
      <c r="E717" s="66"/>
    </row>
    <row r="718" spans="1:5" ht="13" x14ac:dyDescent="0.3">
      <c r="A718" s="66"/>
      <c r="B718" s="66"/>
      <c r="C718" s="66"/>
      <c r="D718" s="66"/>
      <c r="E718" s="66"/>
    </row>
    <row r="719" spans="1:5" ht="13" x14ac:dyDescent="0.3">
      <c r="A719" s="66"/>
      <c r="B719" s="66"/>
      <c r="C719" s="66"/>
      <c r="D719" s="66"/>
      <c r="E719" s="66"/>
    </row>
    <row r="720" spans="1:5" ht="13" x14ac:dyDescent="0.3">
      <c r="A720" s="66"/>
      <c r="B720" s="66"/>
      <c r="C720" s="66"/>
      <c r="D720" s="66"/>
      <c r="E720" s="66"/>
    </row>
    <row r="721" spans="1:5" ht="13" x14ac:dyDescent="0.3">
      <c r="A721" s="66"/>
      <c r="B721" s="66"/>
      <c r="C721" s="66"/>
      <c r="D721" s="66"/>
      <c r="E721" s="66"/>
    </row>
    <row r="722" spans="1:5" ht="13" x14ac:dyDescent="0.3">
      <c r="A722" s="66"/>
      <c r="B722" s="66"/>
      <c r="C722" s="66"/>
      <c r="D722" s="66"/>
      <c r="E722" s="66"/>
    </row>
    <row r="723" spans="1:5" ht="13" x14ac:dyDescent="0.3">
      <c r="A723" s="66"/>
      <c r="B723" s="66"/>
      <c r="C723" s="66"/>
      <c r="D723" s="66"/>
      <c r="E723" s="66"/>
    </row>
    <row r="724" spans="1:5" ht="13" x14ac:dyDescent="0.3">
      <c r="A724" s="66"/>
      <c r="B724" s="66"/>
      <c r="C724" s="66"/>
      <c r="D724" s="66"/>
      <c r="E724" s="66"/>
    </row>
    <row r="725" spans="1:5" ht="13" x14ac:dyDescent="0.3">
      <c r="A725" s="66"/>
      <c r="B725" s="66"/>
      <c r="C725" s="66"/>
      <c r="D725" s="66"/>
      <c r="E725" s="66"/>
    </row>
    <row r="726" spans="1:5" ht="13" x14ac:dyDescent="0.3">
      <c r="A726" s="66"/>
      <c r="B726" s="66"/>
      <c r="C726" s="66"/>
      <c r="D726" s="66"/>
      <c r="E726" s="66"/>
    </row>
    <row r="727" spans="1:5" ht="13" x14ac:dyDescent="0.3">
      <c r="A727" s="66"/>
      <c r="B727" s="66"/>
      <c r="C727" s="66"/>
      <c r="D727" s="66"/>
      <c r="E727" s="66"/>
    </row>
    <row r="728" spans="1:5" ht="13" x14ac:dyDescent="0.3">
      <c r="A728" s="66"/>
      <c r="B728" s="66"/>
      <c r="C728" s="66"/>
      <c r="D728" s="66"/>
      <c r="E728" s="66"/>
    </row>
    <row r="729" spans="1:5" ht="13" x14ac:dyDescent="0.3">
      <c r="A729" s="66"/>
      <c r="B729" s="66"/>
      <c r="C729" s="66"/>
      <c r="D729" s="66"/>
      <c r="E729" s="66"/>
    </row>
    <row r="730" spans="1:5" ht="13" x14ac:dyDescent="0.3">
      <c r="A730" s="66"/>
      <c r="B730" s="66"/>
      <c r="C730" s="66"/>
      <c r="D730" s="66"/>
      <c r="E730" s="66"/>
    </row>
    <row r="731" spans="1:5" ht="13" x14ac:dyDescent="0.3">
      <c r="A731" s="66"/>
      <c r="B731" s="66"/>
      <c r="C731" s="66"/>
      <c r="D731" s="66"/>
      <c r="E731" s="66"/>
    </row>
    <row r="732" spans="1:5" ht="13" x14ac:dyDescent="0.3">
      <c r="A732" s="66"/>
      <c r="B732" s="66"/>
      <c r="C732" s="66"/>
      <c r="D732" s="66"/>
      <c r="E732" s="66"/>
    </row>
    <row r="733" spans="1:5" ht="13" x14ac:dyDescent="0.3">
      <c r="A733" s="66"/>
      <c r="B733" s="66"/>
      <c r="C733" s="66"/>
      <c r="D733" s="66"/>
      <c r="E733" s="66"/>
    </row>
    <row r="734" spans="1:5" ht="13" x14ac:dyDescent="0.3">
      <c r="A734" s="66"/>
      <c r="B734" s="66"/>
      <c r="C734" s="66"/>
      <c r="D734" s="66"/>
      <c r="E734" s="66"/>
    </row>
    <row r="735" spans="1:5" ht="13" x14ac:dyDescent="0.3">
      <c r="A735" s="66"/>
      <c r="B735" s="66"/>
      <c r="C735" s="66"/>
      <c r="D735" s="66"/>
      <c r="E735" s="66"/>
    </row>
    <row r="736" spans="1:5" ht="13" x14ac:dyDescent="0.3">
      <c r="A736" s="66"/>
      <c r="B736" s="66"/>
      <c r="C736" s="66"/>
      <c r="D736" s="66"/>
      <c r="E736" s="66"/>
    </row>
    <row r="737" spans="1:5" ht="13" x14ac:dyDescent="0.3">
      <c r="A737" s="66"/>
      <c r="B737" s="66"/>
      <c r="C737" s="66"/>
      <c r="D737" s="66"/>
      <c r="E737" s="66"/>
    </row>
    <row r="738" spans="1:5" ht="13" x14ac:dyDescent="0.3">
      <c r="A738" s="66"/>
      <c r="B738" s="66"/>
      <c r="C738" s="66"/>
      <c r="D738" s="66"/>
      <c r="E738" s="66"/>
    </row>
    <row r="739" spans="1:5" ht="13" x14ac:dyDescent="0.3">
      <c r="A739" s="66"/>
      <c r="B739" s="66"/>
      <c r="C739" s="66"/>
      <c r="D739" s="66"/>
      <c r="E739" s="66"/>
    </row>
    <row r="740" spans="1:5" ht="13" x14ac:dyDescent="0.3">
      <c r="A740" s="66"/>
      <c r="B740" s="66"/>
      <c r="C740" s="66"/>
      <c r="D740" s="66"/>
      <c r="E740" s="66"/>
    </row>
    <row r="741" spans="1:5" ht="13" x14ac:dyDescent="0.3">
      <c r="A741" s="66"/>
      <c r="B741" s="66"/>
      <c r="C741" s="66"/>
      <c r="D741" s="66"/>
      <c r="E741" s="66"/>
    </row>
    <row r="742" spans="1:5" ht="13" x14ac:dyDescent="0.3">
      <c r="A742" s="66"/>
      <c r="B742" s="66"/>
      <c r="C742" s="66"/>
      <c r="D742" s="66"/>
      <c r="E742" s="66"/>
    </row>
    <row r="743" spans="1:5" ht="13" x14ac:dyDescent="0.3">
      <c r="A743" s="66"/>
      <c r="B743" s="66"/>
      <c r="C743" s="66"/>
      <c r="D743" s="66"/>
      <c r="E743" s="66"/>
    </row>
    <row r="744" spans="1:5" ht="13" x14ac:dyDescent="0.3">
      <c r="A744" s="66"/>
      <c r="B744" s="66"/>
      <c r="C744" s="66"/>
      <c r="D744" s="66"/>
      <c r="E744" s="66"/>
    </row>
    <row r="745" spans="1:5" ht="13" x14ac:dyDescent="0.3">
      <c r="A745" s="66"/>
      <c r="B745" s="66"/>
      <c r="C745" s="66"/>
      <c r="D745" s="66"/>
      <c r="E745" s="66"/>
    </row>
    <row r="746" spans="1:5" ht="13" x14ac:dyDescent="0.3">
      <c r="A746" s="66"/>
      <c r="B746" s="66"/>
      <c r="C746" s="66"/>
      <c r="D746" s="66"/>
      <c r="E746" s="66"/>
    </row>
    <row r="747" spans="1:5" ht="13" x14ac:dyDescent="0.3">
      <c r="A747" s="66"/>
      <c r="B747" s="66"/>
      <c r="C747" s="66"/>
      <c r="D747" s="66"/>
      <c r="E747" s="66"/>
    </row>
    <row r="748" spans="1:5" ht="13" x14ac:dyDescent="0.3">
      <c r="A748" s="66"/>
      <c r="B748" s="66"/>
      <c r="C748" s="66"/>
      <c r="D748" s="66"/>
      <c r="E748" s="66"/>
    </row>
    <row r="749" spans="1:5" ht="13" x14ac:dyDescent="0.3">
      <c r="A749" s="66"/>
      <c r="B749" s="66"/>
      <c r="C749" s="66"/>
      <c r="D749" s="66"/>
      <c r="E749" s="66"/>
    </row>
    <row r="750" spans="1:5" ht="13" x14ac:dyDescent="0.3">
      <c r="A750" s="66"/>
      <c r="B750" s="66"/>
      <c r="C750" s="66"/>
      <c r="D750" s="66"/>
      <c r="E750" s="66"/>
    </row>
    <row r="751" spans="1:5" ht="13" x14ac:dyDescent="0.3">
      <c r="A751" s="66"/>
      <c r="B751" s="66"/>
      <c r="C751" s="66"/>
      <c r="D751" s="66"/>
      <c r="E751" s="66"/>
    </row>
    <row r="752" spans="1:5" ht="13" x14ac:dyDescent="0.3">
      <c r="A752" s="66"/>
      <c r="B752" s="66"/>
      <c r="C752" s="66"/>
      <c r="D752" s="66"/>
      <c r="E752" s="66"/>
    </row>
    <row r="753" spans="1:5" ht="13" x14ac:dyDescent="0.3">
      <c r="A753" s="66"/>
      <c r="B753" s="66"/>
      <c r="C753" s="66"/>
      <c r="D753" s="66"/>
      <c r="E753" s="66"/>
    </row>
    <row r="754" spans="1:5" ht="13" x14ac:dyDescent="0.3">
      <c r="A754" s="66"/>
      <c r="B754" s="66"/>
      <c r="C754" s="66"/>
      <c r="D754" s="66"/>
      <c r="E754" s="66"/>
    </row>
    <row r="755" spans="1:5" ht="13" x14ac:dyDescent="0.3">
      <c r="A755" s="66"/>
      <c r="B755" s="66"/>
      <c r="C755" s="66"/>
      <c r="D755" s="66"/>
      <c r="E755" s="66"/>
    </row>
    <row r="756" spans="1:5" ht="13" x14ac:dyDescent="0.3">
      <c r="A756" s="66"/>
      <c r="B756" s="66"/>
      <c r="C756" s="66"/>
      <c r="D756" s="66"/>
      <c r="E756" s="66"/>
    </row>
    <row r="757" spans="1:5" ht="13" x14ac:dyDescent="0.3">
      <c r="A757" s="66"/>
      <c r="B757" s="66"/>
      <c r="C757" s="66"/>
      <c r="D757" s="66"/>
      <c r="E757" s="66"/>
    </row>
    <row r="758" spans="1:5" ht="13" x14ac:dyDescent="0.3">
      <c r="A758" s="66"/>
      <c r="B758" s="66"/>
      <c r="C758" s="66"/>
      <c r="D758" s="66"/>
      <c r="E758" s="66"/>
    </row>
    <row r="759" spans="1:5" ht="13" x14ac:dyDescent="0.3">
      <c r="A759" s="66"/>
      <c r="B759" s="66"/>
      <c r="C759" s="66"/>
      <c r="D759" s="66"/>
      <c r="E759" s="66"/>
    </row>
    <row r="760" spans="1:5" ht="13" x14ac:dyDescent="0.3">
      <c r="A760" s="66"/>
      <c r="B760" s="66"/>
      <c r="C760" s="66"/>
      <c r="D760" s="66"/>
      <c r="E760" s="66"/>
    </row>
    <row r="761" spans="1:5" ht="13" x14ac:dyDescent="0.3">
      <c r="A761" s="66"/>
      <c r="B761" s="66"/>
      <c r="C761" s="66"/>
      <c r="D761" s="66"/>
      <c r="E761" s="66"/>
    </row>
    <row r="762" spans="1:5" ht="13" x14ac:dyDescent="0.3">
      <c r="A762" s="66"/>
      <c r="B762" s="66"/>
      <c r="C762" s="66"/>
      <c r="D762" s="66"/>
      <c r="E762" s="66"/>
    </row>
    <row r="763" spans="1:5" ht="13" x14ac:dyDescent="0.3">
      <c r="A763" s="66"/>
      <c r="B763" s="66"/>
      <c r="C763" s="66"/>
      <c r="D763" s="66"/>
      <c r="E763" s="66"/>
    </row>
    <row r="764" spans="1:5" ht="13" x14ac:dyDescent="0.3">
      <c r="A764" s="66"/>
      <c r="B764" s="66"/>
      <c r="C764" s="66"/>
      <c r="D764" s="66"/>
      <c r="E764" s="66"/>
    </row>
    <row r="765" spans="1:5" ht="13" x14ac:dyDescent="0.3">
      <c r="A765" s="66"/>
      <c r="B765" s="66"/>
      <c r="C765" s="66"/>
      <c r="D765" s="66"/>
      <c r="E765" s="66"/>
    </row>
    <row r="766" spans="1:5" ht="13" x14ac:dyDescent="0.3">
      <c r="A766" s="66"/>
      <c r="B766" s="66"/>
      <c r="C766" s="66"/>
      <c r="D766" s="66"/>
      <c r="E766" s="66"/>
    </row>
    <row r="767" spans="1:5" ht="13" x14ac:dyDescent="0.3">
      <c r="A767" s="66"/>
      <c r="B767" s="66"/>
      <c r="C767" s="66"/>
      <c r="D767" s="66"/>
      <c r="E767" s="66"/>
    </row>
    <row r="768" spans="1:5" ht="13" x14ac:dyDescent="0.3">
      <c r="A768" s="66"/>
      <c r="B768" s="66"/>
      <c r="C768" s="66"/>
      <c r="D768" s="66"/>
      <c r="E768" s="66"/>
    </row>
    <row r="769" spans="1:5" ht="13" x14ac:dyDescent="0.3">
      <c r="A769" s="66"/>
      <c r="B769" s="66"/>
      <c r="C769" s="66"/>
      <c r="D769" s="66"/>
      <c r="E769" s="66"/>
    </row>
    <row r="770" spans="1:5" ht="13" x14ac:dyDescent="0.3">
      <c r="A770" s="66"/>
      <c r="B770" s="66"/>
      <c r="C770" s="66"/>
      <c r="D770" s="66"/>
      <c r="E770" s="66"/>
    </row>
    <row r="771" spans="1:5" ht="13" x14ac:dyDescent="0.3">
      <c r="A771" s="66"/>
      <c r="B771" s="66"/>
      <c r="C771" s="66"/>
      <c r="D771" s="66"/>
      <c r="E771" s="66"/>
    </row>
    <row r="772" spans="1:5" ht="13" x14ac:dyDescent="0.3">
      <c r="A772" s="66"/>
      <c r="B772" s="66"/>
      <c r="C772" s="66"/>
      <c r="D772" s="66"/>
      <c r="E772" s="66"/>
    </row>
    <row r="773" spans="1:5" ht="13" x14ac:dyDescent="0.3">
      <c r="A773" s="66"/>
      <c r="B773" s="66"/>
      <c r="C773" s="66"/>
      <c r="D773" s="66"/>
      <c r="E773" s="66"/>
    </row>
    <row r="774" spans="1:5" ht="13" x14ac:dyDescent="0.3">
      <c r="A774" s="66"/>
      <c r="B774" s="66"/>
      <c r="C774" s="66"/>
      <c r="D774" s="66"/>
      <c r="E774" s="66"/>
    </row>
    <row r="775" spans="1:5" ht="13" x14ac:dyDescent="0.3">
      <c r="A775" s="66"/>
      <c r="B775" s="66"/>
      <c r="C775" s="66"/>
      <c r="D775" s="66"/>
      <c r="E775" s="66"/>
    </row>
    <row r="776" spans="1:5" ht="13" x14ac:dyDescent="0.3">
      <c r="A776" s="66"/>
      <c r="B776" s="66"/>
      <c r="C776" s="66"/>
      <c r="D776" s="66"/>
      <c r="E776" s="66"/>
    </row>
    <row r="777" spans="1:5" ht="13" x14ac:dyDescent="0.3">
      <c r="A777" s="66"/>
      <c r="B777" s="66"/>
      <c r="C777" s="66"/>
      <c r="D777" s="66"/>
      <c r="E777" s="66"/>
    </row>
    <row r="778" spans="1:5" ht="13" x14ac:dyDescent="0.3">
      <c r="A778" s="66"/>
      <c r="B778" s="66"/>
      <c r="C778" s="66"/>
      <c r="D778" s="66"/>
      <c r="E778" s="66"/>
    </row>
    <row r="779" spans="1:5" ht="13" x14ac:dyDescent="0.3">
      <c r="A779" s="66"/>
      <c r="B779" s="66"/>
      <c r="C779" s="66"/>
      <c r="D779" s="66"/>
      <c r="E779" s="66"/>
    </row>
    <row r="780" spans="1:5" ht="13" x14ac:dyDescent="0.3">
      <c r="A780" s="66"/>
      <c r="B780" s="66"/>
      <c r="C780" s="66"/>
      <c r="D780" s="66"/>
      <c r="E780" s="66"/>
    </row>
    <row r="781" spans="1:5" ht="13" x14ac:dyDescent="0.3">
      <c r="A781" s="66"/>
      <c r="B781" s="66"/>
      <c r="C781" s="66"/>
      <c r="D781" s="66"/>
      <c r="E781" s="66"/>
    </row>
    <row r="782" spans="1:5" ht="13" x14ac:dyDescent="0.3">
      <c r="A782" s="66"/>
      <c r="B782" s="66"/>
      <c r="C782" s="66"/>
      <c r="D782" s="66"/>
      <c r="E782" s="66"/>
    </row>
    <row r="783" spans="1:5" ht="13" x14ac:dyDescent="0.3">
      <c r="A783" s="66"/>
      <c r="B783" s="66"/>
      <c r="C783" s="66"/>
      <c r="D783" s="66"/>
      <c r="E783" s="66"/>
    </row>
    <row r="784" spans="1:5" ht="13" x14ac:dyDescent="0.3">
      <c r="A784" s="66"/>
      <c r="B784" s="66"/>
      <c r="C784" s="66"/>
      <c r="D784" s="66"/>
      <c r="E784" s="66"/>
    </row>
    <row r="785" spans="1:5" ht="13" x14ac:dyDescent="0.3">
      <c r="A785" s="66"/>
      <c r="B785" s="66"/>
      <c r="C785" s="66"/>
      <c r="D785" s="66"/>
      <c r="E785" s="66"/>
    </row>
    <row r="786" spans="1:5" ht="13" x14ac:dyDescent="0.3">
      <c r="A786" s="66"/>
      <c r="B786" s="66"/>
      <c r="C786" s="66"/>
      <c r="D786" s="66"/>
      <c r="E786" s="66"/>
    </row>
    <row r="787" spans="1:5" ht="13" x14ac:dyDescent="0.3">
      <c r="A787" s="66"/>
      <c r="B787" s="66"/>
      <c r="C787" s="66"/>
      <c r="D787" s="66"/>
      <c r="E787" s="66"/>
    </row>
    <row r="788" spans="1:5" ht="13" x14ac:dyDescent="0.3">
      <c r="A788" s="66"/>
      <c r="B788" s="66"/>
      <c r="C788" s="66"/>
      <c r="D788" s="66"/>
      <c r="E788" s="66"/>
    </row>
    <row r="789" spans="1:5" ht="13" x14ac:dyDescent="0.3">
      <c r="A789" s="66"/>
      <c r="B789" s="66"/>
      <c r="C789" s="66"/>
      <c r="D789" s="66"/>
      <c r="E789" s="66"/>
    </row>
    <row r="790" spans="1:5" ht="13" x14ac:dyDescent="0.3">
      <c r="A790" s="66"/>
      <c r="B790" s="66"/>
      <c r="C790" s="66"/>
      <c r="D790" s="66"/>
      <c r="E790" s="66"/>
    </row>
    <row r="791" spans="1:5" ht="13" x14ac:dyDescent="0.3">
      <c r="A791" s="66"/>
      <c r="B791" s="66"/>
      <c r="C791" s="66"/>
      <c r="D791" s="66"/>
      <c r="E791" s="66"/>
    </row>
    <row r="792" spans="1:5" ht="13" x14ac:dyDescent="0.3">
      <c r="A792" s="66"/>
      <c r="B792" s="66"/>
      <c r="C792" s="66"/>
      <c r="D792" s="66"/>
      <c r="E792" s="66"/>
    </row>
    <row r="793" spans="1:5" ht="13" x14ac:dyDescent="0.3">
      <c r="A793" s="66"/>
      <c r="B793" s="66"/>
      <c r="C793" s="66"/>
      <c r="D793" s="66"/>
      <c r="E793" s="66"/>
    </row>
    <row r="794" spans="1:5" ht="13" x14ac:dyDescent="0.3">
      <c r="A794" s="66"/>
      <c r="B794" s="66"/>
      <c r="C794" s="66"/>
      <c r="D794" s="66"/>
      <c r="E794" s="66"/>
    </row>
    <row r="795" spans="1:5" ht="13" x14ac:dyDescent="0.3">
      <c r="A795" s="66"/>
      <c r="B795" s="66"/>
      <c r="C795" s="66"/>
      <c r="D795" s="66"/>
      <c r="E795" s="66"/>
    </row>
    <row r="796" spans="1:5" ht="13" x14ac:dyDescent="0.3">
      <c r="A796" s="66"/>
      <c r="B796" s="66"/>
      <c r="C796" s="66"/>
      <c r="D796" s="66"/>
      <c r="E796" s="66"/>
    </row>
    <row r="797" spans="1:5" ht="13" x14ac:dyDescent="0.3">
      <c r="A797" s="66"/>
      <c r="B797" s="66"/>
      <c r="C797" s="66"/>
      <c r="D797" s="66"/>
      <c r="E797" s="66"/>
    </row>
    <row r="798" spans="1:5" ht="13" x14ac:dyDescent="0.3">
      <c r="A798" s="66"/>
      <c r="B798" s="66"/>
      <c r="C798" s="66"/>
      <c r="D798" s="66"/>
      <c r="E798" s="66"/>
    </row>
    <row r="799" spans="1:5" ht="13" x14ac:dyDescent="0.3">
      <c r="A799" s="66"/>
      <c r="B799" s="66"/>
      <c r="C799" s="66"/>
      <c r="D799" s="66"/>
      <c r="E799" s="66"/>
    </row>
    <row r="800" spans="1:5" ht="13" x14ac:dyDescent="0.3">
      <c r="A800" s="66"/>
      <c r="B800" s="66"/>
      <c r="C800" s="66"/>
      <c r="D800" s="66"/>
      <c r="E800" s="66"/>
    </row>
    <row r="801" spans="1:5" ht="13" x14ac:dyDescent="0.3">
      <c r="A801" s="66"/>
      <c r="B801" s="66"/>
      <c r="C801" s="66"/>
      <c r="D801" s="66"/>
      <c r="E801" s="66"/>
    </row>
    <row r="802" spans="1:5" ht="13" x14ac:dyDescent="0.3">
      <c r="A802" s="66"/>
      <c r="B802" s="66"/>
      <c r="C802" s="66"/>
      <c r="D802" s="66"/>
      <c r="E802" s="66"/>
    </row>
    <row r="803" spans="1:5" ht="13" x14ac:dyDescent="0.3">
      <c r="A803" s="66"/>
      <c r="B803" s="66"/>
      <c r="C803" s="66"/>
      <c r="D803" s="66"/>
      <c r="E803" s="66"/>
    </row>
    <row r="804" spans="1:5" ht="13" x14ac:dyDescent="0.3">
      <c r="A804" s="66"/>
      <c r="B804" s="66"/>
      <c r="C804" s="66"/>
      <c r="D804" s="66"/>
      <c r="E804" s="66"/>
    </row>
    <row r="805" spans="1:5" ht="13" x14ac:dyDescent="0.3">
      <c r="A805" s="66"/>
      <c r="B805" s="66"/>
      <c r="C805" s="66"/>
      <c r="D805" s="66"/>
      <c r="E805" s="66"/>
    </row>
    <row r="806" spans="1:5" ht="13" x14ac:dyDescent="0.3">
      <c r="A806" s="66"/>
      <c r="B806" s="66"/>
      <c r="C806" s="66"/>
      <c r="D806" s="66"/>
      <c r="E806" s="66"/>
    </row>
    <row r="807" spans="1:5" ht="13" x14ac:dyDescent="0.3">
      <c r="A807" s="66"/>
      <c r="B807" s="66"/>
      <c r="C807" s="66"/>
      <c r="D807" s="66"/>
      <c r="E807" s="66"/>
    </row>
    <row r="808" spans="1:5" ht="13" x14ac:dyDescent="0.3">
      <c r="A808" s="66"/>
      <c r="B808" s="66"/>
      <c r="C808" s="66"/>
      <c r="D808" s="66"/>
      <c r="E808" s="66"/>
    </row>
    <row r="809" spans="1:5" ht="13" x14ac:dyDescent="0.3">
      <c r="A809" s="66"/>
      <c r="B809" s="66"/>
      <c r="C809" s="66"/>
      <c r="D809" s="66"/>
      <c r="E809" s="66"/>
    </row>
    <row r="810" spans="1:5" ht="13" x14ac:dyDescent="0.3">
      <c r="A810" s="66"/>
      <c r="B810" s="66"/>
      <c r="C810" s="66"/>
      <c r="D810" s="66"/>
      <c r="E810" s="66"/>
    </row>
    <row r="811" spans="1:5" ht="13" x14ac:dyDescent="0.3">
      <c r="A811" s="66"/>
      <c r="B811" s="66"/>
      <c r="C811" s="66"/>
      <c r="D811" s="66"/>
      <c r="E811" s="66"/>
    </row>
    <row r="812" spans="1:5" ht="13" x14ac:dyDescent="0.3">
      <c r="A812" s="66"/>
      <c r="B812" s="66"/>
      <c r="C812" s="66"/>
      <c r="D812" s="66"/>
      <c r="E812" s="66"/>
    </row>
    <row r="813" spans="1:5" ht="13" x14ac:dyDescent="0.3">
      <c r="A813" s="66"/>
      <c r="B813" s="66"/>
      <c r="C813" s="66"/>
      <c r="D813" s="66"/>
      <c r="E813" s="66"/>
    </row>
    <row r="814" spans="1:5" ht="13" x14ac:dyDescent="0.3">
      <c r="A814" s="66"/>
      <c r="B814" s="66"/>
      <c r="C814" s="66"/>
      <c r="D814" s="66"/>
      <c r="E814" s="66"/>
    </row>
    <row r="815" spans="1:5" ht="13" x14ac:dyDescent="0.3">
      <c r="A815" s="66"/>
      <c r="B815" s="66"/>
      <c r="C815" s="66"/>
      <c r="D815" s="66"/>
      <c r="E815" s="66"/>
    </row>
    <row r="816" spans="1:5" ht="13" x14ac:dyDescent="0.3">
      <c r="A816" s="66"/>
      <c r="B816" s="66"/>
      <c r="C816" s="66"/>
      <c r="D816" s="66"/>
      <c r="E816" s="66"/>
    </row>
    <row r="817" spans="1:5" ht="13" x14ac:dyDescent="0.3">
      <c r="A817" s="66"/>
      <c r="B817" s="66"/>
      <c r="C817" s="66"/>
      <c r="D817" s="66"/>
      <c r="E817" s="66"/>
    </row>
    <row r="818" spans="1:5" ht="13" x14ac:dyDescent="0.3">
      <c r="A818" s="66"/>
      <c r="B818" s="66"/>
      <c r="C818" s="66"/>
      <c r="D818" s="66"/>
      <c r="E818" s="66"/>
    </row>
    <row r="819" spans="1:5" ht="13" x14ac:dyDescent="0.3">
      <c r="A819" s="66"/>
      <c r="B819" s="66"/>
      <c r="C819" s="66"/>
      <c r="D819" s="66"/>
      <c r="E819" s="66"/>
    </row>
    <row r="820" spans="1:5" ht="13" x14ac:dyDescent="0.3">
      <c r="A820" s="66"/>
      <c r="B820" s="66"/>
      <c r="C820" s="66"/>
      <c r="D820" s="66"/>
      <c r="E820" s="66"/>
    </row>
    <row r="821" spans="1:5" ht="13" x14ac:dyDescent="0.3">
      <c r="A821" s="66"/>
      <c r="B821" s="66"/>
      <c r="C821" s="66"/>
      <c r="D821" s="66"/>
      <c r="E821" s="66"/>
    </row>
    <row r="822" spans="1:5" ht="13" x14ac:dyDescent="0.3">
      <c r="A822" s="66"/>
      <c r="B822" s="66"/>
      <c r="C822" s="66"/>
      <c r="D822" s="66"/>
      <c r="E822" s="66"/>
    </row>
    <row r="823" spans="1:5" ht="13" x14ac:dyDescent="0.3">
      <c r="A823" s="66"/>
      <c r="B823" s="66"/>
      <c r="C823" s="66"/>
      <c r="D823" s="66"/>
      <c r="E823" s="66"/>
    </row>
    <row r="824" spans="1:5" ht="13" x14ac:dyDescent="0.3">
      <c r="A824" s="66"/>
      <c r="B824" s="66"/>
      <c r="C824" s="66"/>
      <c r="D824" s="66"/>
      <c r="E824" s="66"/>
    </row>
    <row r="825" spans="1:5" ht="13" x14ac:dyDescent="0.3">
      <c r="A825" s="66"/>
      <c r="B825" s="66"/>
      <c r="C825" s="66"/>
      <c r="D825" s="66"/>
      <c r="E825" s="66"/>
    </row>
    <row r="826" spans="1:5" ht="13" x14ac:dyDescent="0.3">
      <c r="A826" s="66"/>
      <c r="B826" s="66"/>
      <c r="C826" s="66"/>
      <c r="D826" s="66"/>
      <c r="E826" s="66"/>
    </row>
    <row r="827" spans="1:5" ht="13" x14ac:dyDescent="0.3">
      <c r="A827" s="66"/>
      <c r="B827" s="66"/>
      <c r="C827" s="66"/>
      <c r="D827" s="66"/>
      <c r="E827" s="66"/>
    </row>
    <row r="828" spans="1:5" ht="13" x14ac:dyDescent="0.3">
      <c r="A828" s="66"/>
      <c r="B828" s="66"/>
      <c r="C828" s="66"/>
      <c r="D828" s="66"/>
      <c r="E828" s="66"/>
    </row>
    <row r="829" spans="1:5" ht="13" x14ac:dyDescent="0.3">
      <c r="A829" s="66"/>
      <c r="B829" s="66"/>
      <c r="C829" s="66"/>
      <c r="D829" s="66"/>
      <c r="E829" s="66"/>
    </row>
    <row r="830" spans="1:5" ht="13" x14ac:dyDescent="0.3">
      <c r="A830" s="66"/>
      <c r="B830" s="66"/>
      <c r="C830" s="66"/>
      <c r="D830" s="66"/>
      <c r="E830" s="66"/>
    </row>
    <row r="831" spans="1:5" ht="13" x14ac:dyDescent="0.3">
      <c r="A831" s="66"/>
      <c r="B831" s="66"/>
      <c r="C831" s="66"/>
      <c r="D831" s="66"/>
      <c r="E831" s="66"/>
    </row>
    <row r="832" spans="1:5" ht="13" x14ac:dyDescent="0.3">
      <c r="A832" s="66"/>
      <c r="B832" s="66"/>
      <c r="C832" s="66"/>
      <c r="D832" s="66"/>
      <c r="E832" s="66"/>
    </row>
    <row r="833" spans="1:5" ht="13" x14ac:dyDescent="0.3">
      <c r="A833" s="66"/>
      <c r="B833" s="66"/>
      <c r="C833" s="66"/>
      <c r="D833" s="66"/>
      <c r="E833" s="66"/>
    </row>
    <row r="834" spans="1:5" ht="13" x14ac:dyDescent="0.3">
      <c r="A834" s="66"/>
      <c r="B834" s="66"/>
      <c r="C834" s="66"/>
      <c r="D834" s="66"/>
      <c r="E834" s="66"/>
    </row>
    <row r="835" spans="1:5" ht="13" x14ac:dyDescent="0.3">
      <c r="A835" s="66"/>
      <c r="B835" s="66"/>
      <c r="C835" s="66"/>
      <c r="D835" s="66"/>
      <c r="E835" s="66"/>
    </row>
    <row r="836" spans="1:5" ht="13" x14ac:dyDescent="0.3">
      <c r="A836" s="66"/>
      <c r="B836" s="66"/>
      <c r="C836" s="66"/>
      <c r="D836" s="66"/>
      <c r="E836" s="66"/>
    </row>
    <row r="837" spans="1:5" ht="13" x14ac:dyDescent="0.3">
      <c r="A837" s="66"/>
      <c r="B837" s="66"/>
      <c r="C837" s="66"/>
      <c r="D837" s="66"/>
      <c r="E837" s="66"/>
    </row>
    <row r="838" spans="1:5" ht="13" x14ac:dyDescent="0.3">
      <c r="A838" s="66"/>
      <c r="B838" s="66"/>
      <c r="C838" s="66"/>
      <c r="D838" s="66"/>
      <c r="E838" s="66"/>
    </row>
    <row r="839" spans="1:5" ht="13" x14ac:dyDescent="0.3">
      <c r="A839" s="66"/>
      <c r="B839" s="66"/>
      <c r="C839" s="66"/>
      <c r="D839" s="66"/>
      <c r="E839" s="66"/>
    </row>
    <row r="840" spans="1:5" ht="13" x14ac:dyDescent="0.3">
      <c r="A840" s="66"/>
      <c r="B840" s="66"/>
      <c r="C840" s="66"/>
      <c r="D840" s="66"/>
      <c r="E840" s="66"/>
    </row>
    <row r="841" spans="1:5" ht="13" x14ac:dyDescent="0.3">
      <c r="A841" s="66"/>
      <c r="B841" s="66"/>
      <c r="C841" s="66"/>
      <c r="D841" s="66"/>
      <c r="E841" s="66"/>
    </row>
    <row r="842" spans="1:5" ht="13" x14ac:dyDescent="0.3">
      <c r="A842" s="66"/>
      <c r="B842" s="66"/>
      <c r="C842" s="66"/>
      <c r="D842" s="66"/>
      <c r="E842" s="66"/>
    </row>
    <row r="843" spans="1:5" ht="13" x14ac:dyDescent="0.3">
      <c r="A843" s="66"/>
      <c r="B843" s="66"/>
      <c r="C843" s="66"/>
      <c r="D843" s="66"/>
      <c r="E843" s="66"/>
    </row>
    <row r="844" spans="1:5" ht="13" x14ac:dyDescent="0.3">
      <c r="A844" s="66"/>
      <c r="B844" s="66"/>
      <c r="C844" s="66"/>
      <c r="D844" s="66"/>
      <c r="E844" s="66"/>
    </row>
    <row r="845" spans="1:5" ht="13" x14ac:dyDescent="0.3">
      <c r="A845" s="66"/>
      <c r="B845" s="66"/>
      <c r="C845" s="66"/>
      <c r="D845" s="66"/>
      <c r="E845" s="66"/>
    </row>
    <row r="846" spans="1:5" ht="13" x14ac:dyDescent="0.3">
      <c r="A846" s="66"/>
      <c r="B846" s="66"/>
      <c r="C846" s="66"/>
      <c r="D846" s="66"/>
      <c r="E846" s="66"/>
    </row>
    <row r="847" spans="1:5" ht="13" x14ac:dyDescent="0.3">
      <c r="A847" s="66"/>
      <c r="B847" s="66"/>
      <c r="C847" s="66"/>
      <c r="D847" s="66"/>
      <c r="E847" s="66"/>
    </row>
    <row r="848" spans="1:5" ht="13" x14ac:dyDescent="0.3">
      <c r="A848" s="66"/>
      <c r="B848" s="66"/>
      <c r="C848" s="66"/>
      <c r="D848" s="66"/>
      <c r="E848" s="66"/>
    </row>
    <row r="849" spans="1:5" ht="13" x14ac:dyDescent="0.3">
      <c r="A849" s="66"/>
      <c r="B849" s="66"/>
      <c r="C849" s="66"/>
      <c r="D849" s="66"/>
      <c r="E849" s="66"/>
    </row>
    <row r="850" spans="1:5" ht="13" x14ac:dyDescent="0.3">
      <c r="A850" s="66"/>
      <c r="B850" s="66"/>
      <c r="C850" s="66"/>
      <c r="D850" s="66"/>
      <c r="E850" s="66"/>
    </row>
    <row r="851" spans="1:5" ht="13" x14ac:dyDescent="0.3">
      <c r="A851" s="66"/>
      <c r="B851" s="66"/>
      <c r="C851" s="66"/>
      <c r="D851" s="66"/>
      <c r="E851" s="66"/>
    </row>
    <row r="852" spans="1:5" ht="13" x14ac:dyDescent="0.3">
      <c r="A852" s="66"/>
      <c r="B852" s="66"/>
      <c r="C852" s="66"/>
      <c r="D852" s="66"/>
      <c r="E852" s="66"/>
    </row>
    <row r="853" spans="1:5" ht="13" x14ac:dyDescent="0.3">
      <c r="A853" s="66"/>
      <c r="B853" s="66"/>
      <c r="C853" s="66"/>
      <c r="D853" s="66"/>
      <c r="E853" s="66"/>
    </row>
    <row r="854" spans="1:5" ht="13" x14ac:dyDescent="0.3">
      <c r="A854" s="66"/>
      <c r="B854" s="66"/>
      <c r="C854" s="66"/>
      <c r="D854" s="66"/>
      <c r="E854" s="66"/>
    </row>
    <row r="855" spans="1:5" ht="13" x14ac:dyDescent="0.3">
      <c r="A855" s="66"/>
      <c r="B855" s="66"/>
      <c r="C855" s="66"/>
      <c r="D855" s="66"/>
      <c r="E855" s="66"/>
    </row>
    <row r="856" spans="1:5" ht="13" x14ac:dyDescent="0.3">
      <c r="A856" s="66"/>
      <c r="B856" s="66"/>
      <c r="C856" s="66"/>
      <c r="D856" s="66"/>
      <c r="E856" s="66"/>
    </row>
    <row r="857" spans="1:5" ht="13" x14ac:dyDescent="0.3">
      <c r="A857" s="66"/>
      <c r="B857" s="66"/>
      <c r="C857" s="66"/>
      <c r="D857" s="66"/>
      <c r="E857" s="66"/>
    </row>
    <row r="858" spans="1:5" ht="13" x14ac:dyDescent="0.3">
      <c r="A858" s="66"/>
      <c r="B858" s="66"/>
      <c r="C858" s="66"/>
      <c r="D858" s="66"/>
      <c r="E858" s="66"/>
    </row>
    <row r="859" spans="1:5" ht="13" x14ac:dyDescent="0.3">
      <c r="A859" s="66"/>
      <c r="B859" s="66"/>
      <c r="C859" s="66"/>
      <c r="D859" s="66"/>
      <c r="E859" s="66"/>
    </row>
    <row r="860" spans="1:5" ht="13" x14ac:dyDescent="0.3">
      <c r="A860" s="66"/>
      <c r="B860" s="66"/>
      <c r="C860" s="66"/>
      <c r="D860" s="66"/>
      <c r="E860" s="66"/>
    </row>
    <row r="861" spans="1:5" ht="13" x14ac:dyDescent="0.3">
      <c r="A861" s="66"/>
      <c r="B861" s="66"/>
      <c r="C861" s="66"/>
      <c r="D861" s="66"/>
      <c r="E861" s="66"/>
    </row>
    <row r="862" spans="1:5" ht="13" x14ac:dyDescent="0.3">
      <c r="A862" s="66"/>
      <c r="B862" s="66"/>
      <c r="C862" s="66"/>
      <c r="D862" s="66"/>
      <c r="E862" s="66"/>
    </row>
    <row r="863" spans="1:5" ht="13" x14ac:dyDescent="0.3">
      <c r="A863" s="66"/>
      <c r="B863" s="66"/>
      <c r="C863" s="66"/>
      <c r="D863" s="66"/>
      <c r="E863" s="66"/>
    </row>
    <row r="864" spans="1:5" ht="13" x14ac:dyDescent="0.3">
      <c r="A864" s="66"/>
      <c r="B864" s="66"/>
      <c r="C864" s="66"/>
      <c r="D864" s="66"/>
      <c r="E864" s="66"/>
    </row>
    <row r="865" spans="1:5" ht="13" x14ac:dyDescent="0.3">
      <c r="A865" s="66"/>
      <c r="B865" s="66"/>
      <c r="C865" s="66"/>
      <c r="D865" s="66"/>
      <c r="E865" s="66"/>
    </row>
    <row r="866" spans="1:5" ht="13" x14ac:dyDescent="0.3">
      <c r="A866" s="66"/>
      <c r="B866" s="66"/>
      <c r="C866" s="66"/>
      <c r="D866" s="66"/>
      <c r="E866" s="66"/>
    </row>
    <row r="867" spans="1:5" ht="13" x14ac:dyDescent="0.3">
      <c r="A867" s="66"/>
      <c r="B867" s="66"/>
      <c r="C867" s="66"/>
      <c r="D867" s="66"/>
      <c r="E867" s="66"/>
    </row>
    <row r="868" spans="1:5" ht="13" x14ac:dyDescent="0.3">
      <c r="A868" s="66"/>
      <c r="B868" s="66"/>
      <c r="C868" s="66"/>
      <c r="D868" s="66"/>
      <c r="E868" s="66"/>
    </row>
    <row r="869" spans="1:5" ht="13" x14ac:dyDescent="0.3">
      <c r="A869" s="66"/>
      <c r="B869" s="66"/>
      <c r="C869" s="66"/>
      <c r="D869" s="66"/>
      <c r="E869" s="66"/>
    </row>
    <row r="870" spans="1:5" ht="13" x14ac:dyDescent="0.3">
      <c r="A870" s="66"/>
      <c r="B870" s="66"/>
      <c r="C870" s="66"/>
      <c r="D870" s="66"/>
      <c r="E870" s="66"/>
    </row>
    <row r="871" spans="1:5" ht="13" x14ac:dyDescent="0.3">
      <c r="A871" s="66"/>
      <c r="B871" s="66"/>
      <c r="C871" s="66"/>
      <c r="D871" s="66"/>
      <c r="E871" s="66"/>
    </row>
    <row r="872" spans="1:5" ht="13" x14ac:dyDescent="0.3">
      <c r="A872" s="66"/>
      <c r="B872" s="66"/>
      <c r="C872" s="66"/>
      <c r="D872" s="66"/>
      <c r="E872" s="66"/>
    </row>
    <row r="873" spans="1:5" ht="13" x14ac:dyDescent="0.3">
      <c r="A873" s="66"/>
      <c r="B873" s="66"/>
      <c r="C873" s="66"/>
      <c r="D873" s="66"/>
      <c r="E873" s="66"/>
    </row>
    <row r="874" spans="1:5" ht="13" x14ac:dyDescent="0.3">
      <c r="A874" s="66"/>
      <c r="B874" s="66"/>
      <c r="C874" s="66"/>
      <c r="D874" s="66"/>
      <c r="E874" s="66"/>
    </row>
    <row r="875" spans="1:5" ht="13" x14ac:dyDescent="0.3">
      <c r="A875" s="66"/>
      <c r="B875" s="66"/>
      <c r="C875" s="66"/>
      <c r="D875" s="66"/>
      <c r="E875" s="66"/>
    </row>
    <row r="876" spans="1:5" ht="13" x14ac:dyDescent="0.3">
      <c r="A876" s="66"/>
      <c r="B876" s="66"/>
      <c r="C876" s="66"/>
      <c r="D876" s="66"/>
      <c r="E876" s="66"/>
    </row>
    <row r="877" spans="1:5" ht="13" x14ac:dyDescent="0.3">
      <c r="A877" s="66"/>
      <c r="B877" s="66"/>
      <c r="C877" s="66"/>
      <c r="D877" s="66"/>
      <c r="E877" s="66"/>
    </row>
    <row r="878" spans="1:5" ht="13" x14ac:dyDescent="0.3">
      <c r="A878" s="66"/>
      <c r="B878" s="66"/>
      <c r="C878" s="66"/>
      <c r="D878" s="66"/>
      <c r="E878" s="66"/>
    </row>
  </sheetData>
  <autoFilter ref="A1:E277" xr:uid="{00000000-0009-0000-0000-000001000000}"/>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1F93C-D811-47FF-B358-1D106986BC09}">
  <dimension ref="A1:G53"/>
  <sheetViews>
    <sheetView workbookViewId="0">
      <selection activeCell="B53" sqref="B53"/>
    </sheetView>
  </sheetViews>
  <sheetFormatPr defaultRowHeight="14.5" x14ac:dyDescent="0.35"/>
  <sheetData>
    <row r="1" spans="1:7" ht="130.5" x14ac:dyDescent="0.35">
      <c r="A1" s="28" t="s">
        <v>220</v>
      </c>
      <c r="B1" s="36"/>
      <c r="C1" s="28" t="s">
        <v>215</v>
      </c>
      <c r="D1" s="28" t="s">
        <v>216</v>
      </c>
      <c r="E1" s="28" t="s">
        <v>217</v>
      </c>
      <c r="F1" s="28" t="s">
        <v>218</v>
      </c>
      <c r="G1" s="28" t="s">
        <v>219</v>
      </c>
    </row>
    <row r="2" spans="1:7" x14ac:dyDescent="0.35">
      <c r="A2">
        <f t="shared" ref="A2:A33" si="0">RANK(G2,G$2:G$51)</f>
        <v>21</v>
      </c>
      <c r="B2" t="s">
        <v>50</v>
      </c>
      <c r="C2" s="37">
        <f>VLOOKUP(B2,'Int Data - Case 1'!A1:W51,12,FALSE)</f>
        <v>25.041666666666664</v>
      </c>
      <c r="D2" s="37">
        <f>VLOOKUP(B2,'Int Data - Case 2'!A1:W51,18,FALSE)</f>
        <v>30</v>
      </c>
      <c r="E2" s="37">
        <f>VLOOKUP(B2,'Int Data - Case 3'!A1:W51,13,FALSE)</f>
        <v>19.833333333333336</v>
      </c>
      <c r="F2" s="37">
        <f>VLOOKUP(B2,'Int Data - Case 4'!A1:W51,9,FALSE)</f>
        <v>12.5</v>
      </c>
      <c r="G2" s="37">
        <f>(C2*'State Ranking'!C$13)+(D2*'State Ranking'!D$13)+(E2*'State Ranking'!E$13)+(F2*'State Ranking'!F$13)</f>
        <v>25.041666666666664</v>
      </c>
    </row>
    <row r="3" spans="1:7" x14ac:dyDescent="0.35">
      <c r="A3">
        <f t="shared" si="0"/>
        <v>1</v>
      </c>
      <c r="B3" t="s">
        <v>54</v>
      </c>
      <c r="C3" s="37">
        <f>VLOOKUP(B3,'Int Data - Case 1'!A2:W52,12,FALSE)</f>
        <v>43.833333333333329</v>
      </c>
      <c r="D3" s="37">
        <f>VLOOKUP(B3,'Int Data - Case 2'!A2:W52,18,FALSE)</f>
        <v>27.75</v>
      </c>
      <c r="E3" s="37">
        <f>VLOOKUP(B3,'Int Data - Case 3'!A2:W52,13,FALSE)</f>
        <v>0</v>
      </c>
      <c r="F3" s="37">
        <f>VLOOKUP(B3,'Int Data - Case 4'!A2:W52,9,FALSE)</f>
        <v>9.75</v>
      </c>
      <c r="G3" s="37">
        <f>(C3*'State Ranking'!C$13)+(D3*'State Ranking'!D$13)+(E3*'State Ranking'!E$13)+(F3*'State Ranking'!F$13)</f>
        <v>43.833333333333329</v>
      </c>
    </row>
    <row r="4" spans="1:7" x14ac:dyDescent="0.35">
      <c r="A4">
        <f t="shared" si="0"/>
        <v>29</v>
      </c>
      <c r="B4" t="s">
        <v>56</v>
      </c>
      <c r="C4" s="37">
        <f>VLOOKUP(B4,'Int Data - Case 1'!A3:W53,12,FALSE)</f>
        <v>22.666666666666664</v>
      </c>
      <c r="D4" s="37">
        <f>VLOOKUP(B4,'Int Data - Case 2'!A3:W53,18,FALSE)</f>
        <v>20.125</v>
      </c>
      <c r="E4" s="37">
        <f>VLOOKUP(B4,'Int Data - Case 3'!A3:W53,13,FALSE)</f>
        <v>30.666666666666664</v>
      </c>
      <c r="F4" s="37">
        <f>VLOOKUP(B4,'Int Data - Case 4'!A3:W53,9,FALSE)</f>
        <v>12.5</v>
      </c>
      <c r="G4" s="37">
        <f>(C4*'State Ranking'!C$13)+(D4*'State Ranking'!D$13)+(E4*'State Ranking'!E$13)+(F4*'State Ranking'!F$13)</f>
        <v>22.666666666666664</v>
      </c>
    </row>
    <row r="5" spans="1:7" x14ac:dyDescent="0.35">
      <c r="A5">
        <f t="shared" si="0"/>
        <v>18</v>
      </c>
      <c r="B5" t="s">
        <v>61</v>
      </c>
      <c r="C5" s="37">
        <f>VLOOKUP(B5,'Int Data - Case 1'!A4:W54,12,FALSE)</f>
        <v>26.916666666666668</v>
      </c>
      <c r="D5" s="37">
        <f>VLOOKUP(B5,'Int Data - Case 2'!A4:W54,18,FALSE)</f>
        <v>21.5</v>
      </c>
      <c r="E5" s="37">
        <f>VLOOKUP(B5,'Int Data - Case 3'!A4:W54,13,FALSE)</f>
        <v>28.166666666666664</v>
      </c>
      <c r="F5" s="37">
        <f>VLOOKUP(B5,'Int Data - Case 4'!A4:W54,9,FALSE)</f>
        <v>32.25</v>
      </c>
      <c r="G5" s="37">
        <f>(C5*'State Ranking'!C$13)+(D5*'State Ranking'!D$13)+(E5*'State Ranking'!E$13)+(F5*'State Ranking'!F$13)</f>
        <v>26.916666666666668</v>
      </c>
    </row>
    <row r="6" spans="1:7" x14ac:dyDescent="0.35">
      <c r="A6">
        <f t="shared" si="0"/>
        <v>5</v>
      </c>
      <c r="B6" t="s">
        <v>2</v>
      </c>
      <c r="C6" s="37">
        <f>VLOOKUP(B6,'Int Data - Case 1'!A5:W55,12,FALSE)</f>
        <v>34.666666666666671</v>
      </c>
      <c r="D6" s="37">
        <f>VLOOKUP(B6,'Int Data - Case 2'!A5:W55,18,FALSE)</f>
        <v>41.75</v>
      </c>
      <c r="E6" s="37">
        <f>VLOOKUP(B6,'Int Data - Case 3'!A5:W55,13,FALSE)</f>
        <v>27</v>
      </c>
      <c r="F6" s="37">
        <f>VLOOKUP(B6,'Int Data - Case 4'!A5:W55,9,FALSE)</f>
        <v>34</v>
      </c>
      <c r="G6" s="37">
        <f>(C6*'State Ranking'!C$13)+(D6*'State Ranking'!D$13)+(E6*'State Ranking'!E$13)+(F6*'State Ranking'!F$13)</f>
        <v>34.666666666666671</v>
      </c>
    </row>
    <row r="7" spans="1:7" x14ac:dyDescent="0.35">
      <c r="A7">
        <f t="shared" si="0"/>
        <v>26</v>
      </c>
      <c r="B7" t="s">
        <v>67</v>
      </c>
      <c r="C7" s="37">
        <f>VLOOKUP(B7,'Int Data - Case 1'!A6:W56,12,FALSE)</f>
        <v>23.083333333333336</v>
      </c>
      <c r="D7" s="37">
        <f>VLOOKUP(B7,'Int Data - Case 2'!A6:W56,18,FALSE)</f>
        <v>18.125</v>
      </c>
      <c r="E7" s="37">
        <f>VLOOKUP(B7,'Int Data - Case 3'!A6:W56,13,FALSE)</f>
        <v>23.5</v>
      </c>
      <c r="F7" s="37">
        <f>VLOOKUP(B7,'Int Data - Case 4'!A6:W56,9,FALSE)</f>
        <v>44.5</v>
      </c>
      <c r="G7" s="37">
        <f>(C7*'State Ranking'!C$13)+(D7*'State Ranking'!D$13)+(E7*'State Ranking'!E$13)+(F7*'State Ranking'!F$13)</f>
        <v>23.083333333333336</v>
      </c>
    </row>
    <row r="8" spans="1:7" x14ac:dyDescent="0.35">
      <c r="A8">
        <f t="shared" si="0"/>
        <v>41</v>
      </c>
      <c r="B8" t="s">
        <v>71</v>
      </c>
      <c r="C8" s="37">
        <f>VLOOKUP(B8,'Int Data - Case 1'!A7:W57,12,FALSE)</f>
        <v>17.875</v>
      </c>
      <c r="D8" s="37">
        <f>VLOOKUP(B8,'Int Data - Case 2'!A7:W57,18,FALSE)</f>
        <v>28</v>
      </c>
      <c r="E8" s="37">
        <f>VLOOKUP(B8,'Int Data - Case 3'!A7:W57,13,FALSE)</f>
        <v>42</v>
      </c>
      <c r="F8" s="37">
        <f>VLOOKUP(B8,'Int Data - Case 4'!A7:W57,9,FALSE)</f>
        <v>16.5</v>
      </c>
      <c r="G8" s="37">
        <f>(C8*'State Ranking'!C$13)+(D8*'State Ranking'!D$13)+(E8*'State Ranking'!E$13)+(F8*'State Ranking'!F$13)</f>
        <v>17.875</v>
      </c>
    </row>
    <row r="9" spans="1:7" x14ac:dyDescent="0.35">
      <c r="A9">
        <f t="shared" si="0"/>
        <v>35</v>
      </c>
      <c r="B9" t="s">
        <v>73</v>
      </c>
      <c r="C9" s="37">
        <f>VLOOKUP(B9,'Int Data - Case 1'!A8:W58,12,FALSE)</f>
        <v>20.416666666666664</v>
      </c>
      <c r="D9" s="37">
        <f>VLOOKUP(B9,'Int Data - Case 2'!A8:W58,18,FALSE)</f>
        <v>15.5</v>
      </c>
      <c r="E9" s="37">
        <f>VLOOKUP(B9,'Int Data - Case 3'!A8:W58,13,FALSE)</f>
        <v>43.5</v>
      </c>
      <c r="F9" s="37">
        <f>VLOOKUP(B9,'Int Data - Case 4'!A8:W58,9,FALSE)</f>
        <v>12.5</v>
      </c>
      <c r="G9" s="37">
        <f>(C9*'State Ranking'!C$13)+(D9*'State Ranking'!D$13)+(E9*'State Ranking'!E$13)+(F9*'State Ranking'!F$13)</f>
        <v>20.416666666666664</v>
      </c>
    </row>
    <row r="10" spans="1:7" x14ac:dyDescent="0.35">
      <c r="A10">
        <f t="shared" si="0"/>
        <v>28</v>
      </c>
      <c r="B10" t="s">
        <v>75</v>
      </c>
      <c r="C10" s="37">
        <f>VLOOKUP(B10,'Int Data - Case 1'!A9:W59,12,FALSE)</f>
        <v>22.833333333333336</v>
      </c>
      <c r="D10" s="37">
        <f>VLOOKUP(B10,'Int Data - Case 2'!A9:W59,18,FALSE)</f>
        <v>21</v>
      </c>
      <c r="E10" s="37">
        <f>VLOOKUP(B10,'Int Data - Case 3'!A9:W59,13,FALSE)</f>
        <v>19.833333333333332</v>
      </c>
      <c r="F10" s="37">
        <f>VLOOKUP(B10,'Int Data - Case 4'!A9:W59,9,FALSE)</f>
        <v>27.25</v>
      </c>
      <c r="G10" s="37">
        <f>(C10*'State Ranking'!C$13)+(D10*'State Ranking'!D$13)+(E10*'State Ranking'!E$13)+(F10*'State Ranking'!F$13)</f>
        <v>22.833333333333336</v>
      </c>
    </row>
    <row r="11" spans="1:7" x14ac:dyDescent="0.35">
      <c r="A11">
        <f t="shared" si="0"/>
        <v>45</v>
      </c>
      <c r="B11" t="s">
        <v>77</v>
      </c>
      <c r="C11" s="37">
        <f>VLOOKUP(B11,'Int Data - Case 1'!A10:W60,12,FALSE)</f>
        <v>16.333333333333332</v>
      </c>
      <c r="D11" s="37">
        <f>VLOOKUP(B11,'Int Data - Case 2'!A10:W60,18,FALSE)</f>
        <v>29.25</v>
      </c>
      <c r="E11" s="37">
        <f>VLOOKUP(B11,'Int Data - Case 3'!A10:W60,13,FALSE)</f>
        <v>25.333333333333336</v>
      </c>
      <c r="F11" s="37">
        <f>VLOOKUP(B11,'Int Data - Case 4'!A10:W60,9,FALSE)</f>
        <v>21.75</v>
      </c>
      <c r="G11" s="37">
        <f>(C11*'State Ranking'!C$13)+(D11*'State Ranking'!D$13)+(E11*'State Ranking'!E$13)+(F11*'State Ranking'!F$13)</f>
        <v>16.333333333333332</v>
      </c>
    </row>
    <row r="12" spans="1:7" x14ac:dyDescent="0.35">
      <c r="A12">
        <f t="shared" si="0"/>
        <v>48</v>
      </c>
      <c r="B12" t="s">
        <v>81</v>
      </c>
      <c r="C12" s="37">
        <f>VLOOKUP(B12,'Int Data - Case 1'!A11:W61,12,FALSE)</f>
        <v>10.666666666666668</v>
      </c>
      <c r="D12" s="37">
        <f>VLOOKUP(B12,'Int Data - Case 2'!A11:W61,18,FALSE)</f>
        <v>34.5</v>
      </c>
      <c r="E12" s="37">
        <f>VLOOKUP(B12,'Int Data - Case 3'!A11:W61,13,FALSE)</f>
        <v>28.333333333333332</v>
      </c>
      <c r="F12" s="37">
        <f>VLOOKUP(B12,'Int Data - Case 4'!A11:W61,9,FALSE)</f>
        <v>32.25</v>
      </c>
      <c r="G12" s="37">
        <f>(C12*'State Ranking'!C$13)+(D12*'State Ranking'!D$13)+(E12*'State Ranking'!E$13)+(F12*'State Ranking'!F$13)</f>
        <v>10.666666666666668</v>
      </c>
    </row>
    <row r="13" spans="1:7" x14ac:dyDescent="0.35">
      <c r="A13">
        <f t="shared" si="0"/>
        <v>36</v>
      </c>
      <c r="B13" t="s">
        <v>83</v>
      </c>
      <c r="C13" s="37">
        <f>VLOOKUP(B13,'Int Data - Case 1'!A12:W62,12,FALSE)</f>
        <v>20.333333333333336</v>
      </c>
      <c r="D13" s="37">
        <f>VLOOKUP(B13,'Int Data - Case 2'!A12:W62,18,FALSE)</f>
        <v>26.75</v>
      </c>
      <c r="E13" s="37">
        <f>VLOOKUP(B13,'Int Data - Case 3'!A12:W62,13,FALSE)</f>
        <v>15.166666666666666</v>
      </c>
      <c r="F13" s="37">
        <f>VLOOKUP(B13,'Int Data - Case 4'!A12:W62,9,FALSE)</f>
        <v>16.5</v>
      </c>
      <c r="G13" s="37">
        <f>(C13*'State Ranking'!C$13)+(D13*'State Ranking'!D$13)+(E13*'State Ranking'!E$13)+(F13*'State Ranking'!F$13)</f>
        <v>20.333333333333336</v>
      </c>
    </row>
    <row r="14" spans="1:7" x14ac:dyDescent="0.35">
      <c r="A14">
        <f t="shared" si="0"/>
        <v>15</v>
      </c>
      <c r="B14" t="s">
        <v>85</v>
      </c>
      <c r="C14" s="37">
        <f>VLOOKUP(B14,'Int Data - Case 1'!A13:W63,12,FALSE)</f>
        <v>28.5</v>
      </c>
      <c r="D14" s="37">
        <f>VLOOKUP(B14,'Int Data - Case 2'!A13:W63,18,FALSE)</f>
        <v>40.75</v>
      </c>
      <c r="E14" s="37">
        <f>VLOOKUP(B14,'Int Data - Case 3'!A13:W63,13,FALSE)</f>
        <v>24</v>
      </c>
      <c r="F14" s="37">
        <f>VLOOKUP(B14,'Int Data - Case 4'!A13:W63,9,FALSE)</f>
        <v>21.75</v>
      </c>
      <c r="G14" s="37">
        <f>(C14*'State Ranking'!C$13)+(D14*'State Ranking'!D$13)+(E14*'State Ranking'!E$13)+(F14*'State Ranking'!F$13)</f>
        <v>28.5</v>
      </c>
    </row>
    <row r="15" spans="1:7" x14ac:dyDescent="0.35">
      <c r="A15">
        <f t="shared" si="0"/>
        <v>8</v>
      </c>
      <c r="B15" t="s">
        <v>87</v>
      </c>
      <c r="C15" s="37">
        <f>VLOOKUP(B15,'Int Data - Case 1'!A14:W64,12,FALSE)</f>
        <v>32.666666666666664</v>
      </c>
      <c r="D15" s="37">
        <f>VLOOKUP(B15,'Int Data - Case 2'!A14:W64,18,FALSE)</f>
        <v>23</v>
      </c>
      <c r="E15" s="37">
        <f>VLOOKUP(B15,'Int Data - Case 3'!A14:W64,13,FALSE)</f>
        <v>17.833333333333336</v>
      </c>
      <c r="F15" s="37">
        <f>VLOOKUP(B15,'Int Data - Case 4'!A14:W64,9,FALSE)</f>
        <v>32.25</v>
      </c>
      <c r="G15" s="37">
        <f>(C15*'State Ranking'!C$13)+(D15*'State Ranking'!D$13)+(E15*'State Ranking'!E$13)+(F15*'State Ranking'!F$13)</f>
        <v>32.666666666666664</v>
      </c>
    </row>
    <row r="16" spans="1:7" x14ac:dyDescent="0.35">
      <c r="A16">
        <f t="shared" si="0"/>
        <v>38</v>
      </c>
      <c r="B16" t="s">
        <v>90</v>
      </c>
      <c r="C16" s="37">
        <f>VLOOKUP(B16,'Int Data - Case 1'!A15:W65,12,FALSE)</f>
        <v>19.416666666666668</v>
      </c>
      <c r="D16" s="37">
        <f>VLOOKUP(B16,'Int Data - Case 2'!A15:W65,18,FALSE)</f>
        <v>18</v>
      </c>
      <c r="E16" s="37">
        <f>VLOOKUP(B16,'Int Data - Case 3'!A15:W65,13,FALSE)</f>
        <v>16.833333333333332</v>
      </c>
      <c r="F16" s="37">
        <f>VLOOKUP(B16,'Int Data - Case 4'!A15:W65,9,FALSE)</f>
        <v>21.75</v>
      </c>
      <c r="G16" s="37">
        <f>(C16*'State Ranking'!C$13)+(D16*'State Ranking'!D$13)+(E16*'State Ranking'!E$13)+(F16*'State Ranking'!F$13)</f>
        <v>19.416666666666668</v>
      </c>
    </row>
    <row r="17" spans="1:7" x14ac:dyDescent="0.35">
      <c r="A17">
        <f t="shared" si="0"/>
        <v>29</v>
      </c>
      <c r="B17" t="s">
        <v>92</v>
      </c>
      <c r="C17" s="37">
        <f>VLOOKUP(B17,'Int Data - Case 1'!A16:W66,12,FALSE)</f>
        <v>22.666666666666664</v>
      </c>
      <c r="D17" s="37">
        <f>VLOOKUP(B17,'Int Data - Case 2'!A16:W66,18,FALSE)</f>
        <v>24.25</v>
      </c>
      <c r="E17" s="37">
        <f>VLOOKUP(B17,'Int Data - Case 3'!A16:W66,13,FALSE)</f>
        <v>25.333333333333336</v>
      </c>
      <c r="F17" s="37">
        <f>VLOOKUP(B17,'Int Data - Case 4'!A16:W66,9,FALSE)</f>
        <v>27.25</v>
      </c>
      <c r="G17" s="37">
        <f>(C17*'State Ranking'!C$13)+(D17*'State Ranking'!D$13)+(E17*'State Ranking'!E$13)+(F17*'State Ranking'!F$13)</f>
        <v>22.666666666666664</v>
      </c>
    </row>
    <row r="18" spans="1:7" x14ac:dyDescent="0.35">
      <c r="A18">
        <f t="shared" si="0"/>
        <v>2</v>
      </c>
      <c r="B18" t="s">
        <v>94</v>
      </c>
      <c r="C18" s="37">
        <f>VLOOKUP(B18,'Int Data - Case 1'!A17:W67,12,FALSE)</f>
        <v>41.291666666666671</v>
      </c>
      <c r="D18" s="37">
        <f>VLOOKUP(B18,'Int Data - Case 2'!A17:W67,18,FALSE)</f>
        <v>28.25</v>
      </c>
      <c r="E18" s="37">
        <f>VLOOKUP(B18,'Int Data - Case 3'!A17:W67,13,FALSE)</f>
        <v>9.8333333333333321</v>
      </c>
      <c r="F18" s="37">
        <f>VLOOKUP(B18,'Int Data - Case 4'!A17:W67,9,FALSE)</f>
        <v>32.25</v>
      </c>
      <c r="G18" s="37">
        <f>(C18*'State Ranking'!C$13)+(D18*'State Ranking'!D$13)+(E18*'State Ranking'!E$13)+(F18*'State Ranking'!F$13)</f>
        <v>41.291666666666671</v>
      </c>
    </row>
    <row r="19" spans="1:7" x14ac:dyDescent="0.35">
      <c r="A19">
        <f t="shared" si="0"/>
        <v>3</v>
      </c>
      <c r="B19" t="s">
        <v>96</v>
      </c>
      <c r="C19" s="37">
        <f>VLOOKUP(B19,'Int Data - Case 1'!A18:W68,12,FALSE)</f>
        <v>40.333333333333329</v>
      </c>
      <c r="D19" s="37">
        <f>VLOOKUP(B19,'Int Data - Case 2'!A18:W68,18,FALSE)</f>
        <v>21.5</v>
      </c>
      <c r="E19" s="37">
        <f>VLOOKUP(B19,'Int Data - Case 3'!A18:W68,13,FALSE)</f>
        <v>28.333333333333332</v>
      </c>
      <c r="F19" s="37">
        <f>VLOOKUP(B19,'Int Data - Case 4'!A18:W68,9,FALSE)</f>
        <v>27.25</v>
      </c>
      <c r="G19" s="37">
        <f>(C19*'State Ranking'!C$13)+(D19*'State Ranking'!D$13)+(E19*'State Ranking'!E$13)+(F19*'State Ranking'!F$13)</f>
        <v>40.333333333333329</v>
      </c>
    </row>
    <row r="20" spans="1:7" x14ac:dyDescent="0.35">
      <c r="A20">
        <f t="shared" si="0"/>
        <v>37</v>
      </c>
      <c r="B20" t="s">
        <v>98</v>
      </c>
      <c r="C20" s="37">
        <f>VLOOKUP(B20,'Int Data - Case 1'!A19:W69,12,FALSE)</f>
        <v>20.083333333333336</v>
      </c>
      <c r="D20" s="37">
        <f>VLOOKUP(B20,'Int Data - Case 2'!A19:W69,18,FALSE)</f>
        <v>24</v>
      </c>
      <c r="E20" s="37">
        <f>VLOOKUP(B20,'Int Data - Case 3'!A19:W69,13,FALSE)</f>
        <v>17.5</v>
      </c>
      <c r="F20" s="37">
        <f>VLOOKUP(B20,'Int Data - Case 4'!A19:W69,9,FALSE)</f>
        <v>16.5</v>
      </c>
      <c r="G20" s="37">
        <f>(C20*'State Ranking'!C$13)+(D20*'State Ranking'!D$13)+(E20*'State Ranking'!E$13)+(F20*'State Ranking'!F$13)</f>
        <v>20.083333333333336</v>
      </c>
    </row>
    <row r="21" spans="1:7" x14ac:dyDescent="0.35">
      <c r="A21">
        <f t="shared" si="0"/>
        <v>47</v>
      </c>
      <c r="B21" t="s">
        <v>100</v>
      </c>
      <c r="C21" s="37">
        <f>VLOOKUP(B21,'Int Data - Case 1'!A20:W70,12,FALSE)</f>
        <v>11.541666666666668</v>
      </c>
      <c r="D21" s="37">
        <f>VLOOKUP(B21,'Int Data - Case 2'!A20:W70,18,FALSE)</f>
        <v>33.5</v>
      </c>
      <c r="E21" s="37">
        <f>VLOOKUP(B21,'Int Data - Case 3'!A20:W70,13,FALSE)</f>
        <v>29.333333333333336</v>
      </c>
      <c r="F21" s="37">
        <f>VLOOKUP(B21,'Int Data - Case 4'!A20:W70,9,FALSE)</f>
        <v>16.5</v>
      </c>
      <c r="G21" s="37">
        <f>(C21*'State Ranking'!C$13)+(D21*'State Ranking'!D$13)+(E21*'State Ranking'!E$13)+(F21*'State Ranking'!F$13)</f>
        <v>11.541666666666668</v>
      </c>
    </row>
    <row r="22" spans="1:7" x14ac:dyDescent="0.35">
      <c r="A22">
        <f t="shared" si="0"/>
        <v>49</v>
      </c>
      <c r="B22" t="s">
        <v>104</v>
      </c>
      <c r="C22" s="37">
        <f>VLOOKUP(B22,'Int Data - Case 1'!A21:W71,12,FALSE)</f>
        <v>9.3333333333333321</v>
      </c>
      <c r="D22" s="37">
        <f>VLOOKUP(B22,'Int Data - Case 2'!A21:W71,18,FALSE)</f>
        <v>24.125</v>
      </c>
      <c r="E22" s="37">
        <f>VLOOKUP(B22,'Int Data - Case 3'!A21:W71,13,FALSE)</f>
        <v>41.833333333333329</v>
      </c>
      <c r="F22" s="37">
        <f>VLOOKUP(B22,'Int Data - Case 4'!A21:W71,9,FALSE)</f>
        <v>32.25</v>
      </c>
      <c r="G22" s="37">
        <f>(C22*'State Ranking'!C$13)+(D22*'State Ranking'!D$13)+(E22*'State Ranking'!E$13)+(F22*'State Ranking'!F$13)</f>
        <v>9.3333333333333321</v>
      </c>
    </row>
    <row r="23" spans="1:7" x14ac:dyDescent="0.35">
      <c r="A23">
        <f t="shared" si="0"/>
        <v>4</v>
      </c>
      <c r="B23" t="s">
        <v>107</v>
      </c>
      <c r="C23" s="37">
        <f>VLOOKUP(B23,'Int Data - Case 1'!A22:W72,12,FALSE)</f>
        <v>38.333333333333329</v>
      </c>
      <c r="D23" s="37">
        <f>VLOOKUP(B23,'Int Data - Case 2'!A22:W72,18,FALSE)</f>
        <v>20</v>
      </c>
      <c r="E23" s="37">
        <f>VLOOKUP(B23,'Int Data - Case 3'!A22:W72,13,FALSE)</f>
        <v>29.166666666666664</v>
      </c>
      <c r="F23" s="37">
        <f>VLOOKUP(B23,'Int Data - Case 4'!A22:W72,9,FALSE)</f>
        <v>28.75</v>
      </c>
      <c r="G23" s="37">
        <f>(C23*'State Ranking'!C$13)+(D23*'State Ranking'!D$13)+(E23*'State Ranking'!E$13)+(F23*'State Ranking'!F$13)</f>
        <v>38.333333333333329</v>
      </c>
    </row>
    <row r="24" spans="1:7" x14ac:dyDescent="0.35">
      <c r="A24">
        <f t="shared" si="0"/>
        <v>43</v>
      </c>
      <c r="B24" t="s">
        <v>110</v>
      </c>
      <c r="C24" s="37">
        <f>VLOOKUP(B24,'Int Data - Case 1'!A23:W73,12,FALSE)</f>
        <v>17.416666666666664</v>
      </c>
      <c r="D24" s="37">
        <f>VLOOKUP(B24,'Int Data - Case 2'!A23:W73,18,FALSE)</f>
        <v>25.75</v>
      </c>
      <c r="E24" s="37">
        <f>VLOOKUP(B24,'Int Data - Case 3'!A23:W73,13,FALSE)</f>
        <v>20.666666666666668</v>
      </c>
      <c r="F24" s="37">
        <f>VLOOKUP(B24,'Int Data - Case 4'!A23:W73,9,FALSE)</f>
        <v>16.5</v>
      </c>
      <c r="G24" s="37">
        <f>(C24*'State Ranking'!C$13)+(D24*'State Ranking'!D$13)+(E24*'State Ranking'!E$13)+(F24*'State Ranking'!F$13)</f>
        <v>17.416666666666664</v>
      </c>
    </row>
    <row r="25" spans="1:7" x14ac:dyDescent="0.35">
      <c r="A25">
        <f t="shared" si="0"/>
        <v>13</v>
      </c>
      <c r="B25" t="s">
        <v>112</v>
      </c>
      <c r="C25" s="37">
        <f>VLOOKUP(B25,'Int Data - Case 1'!A24:W74,12,FALSE)</f>
        <v>28.833333333333336</v>
      </c>
      <c r="D25" s="37">
        <f>VLOOKUP(B25,'Int Data - Case 2'!A24:W74,18,FALSE)</f>
        <v>23.25</v>
      </c>
      <c r="E25" s="37">
        <f>VLOOKUP(B25,'Int Data - Case 3'!A24:W74,13,FALSE)</f>
        <v>25.333333333333336</v>
      </c>
      <c r="F25" s="37">
        <f>VLOOKUP(B25,'Int Data - Case 4'!A24:W74,9,FALSE)</f>
        <v>16.5</v>
      </c>
      <c r="G25" s="37">
        <f>(C25*'State Ranking'!C$13)+(D25*'State Ranking'!D$13)+(E25*'State Ranking'!E$13)+(F25*'State Ranking'!F$13)</f>
        <v>28.833333333333336</v>
      </c>
    </row>
    <row r="26" spans="1:7" x14ac:dyDescent="0.35">
      <c r="A26">
        <f t="shared" si="0"/>
        <v>10</v>
      </c>
      <c r="B26" t="s">
        <v>114</v>
      </c>
      <c r="C26" s="37">
        <f>VLOOKUP(B26,'Int Data - Case 1'!A25:W75,12,FALSE)</f>
        <v>32</v>
      </c>
      <c r="D26" s="37">
        <f>VLOOKUP(B26,'Int Data - Case 2'!A25:W75,18,FALSE)</f>
        <v>14</v>
      </c>
      <c r="E26" s="37">
        <f>VLOOKUP(B26,'Int Data - Case 3'!A25:W75,13,FALSE)</f>
        <v>23.5</v>
      </c>
      <c r="F26" s="37">
        <f>VLOOKUP(B26,'Int Data - Case 4'!A25:W75,9,FALSE)</f>
        <v>16.5</v>
      </c>
      <c r="G26" s="37">
        <f>(C26*'State Ranking'!C$13)+(D26*'State Ranking'!D$13)+(E26*'State Ranking'!E$13)+(F26*'State Ranking'!F$13)</f>
        <v>32</v>
      </c>
    </row>
    <row r="27" spans="1:7" x14ac:dyDescent="0.35">
      <c r="A27">
        <f t="shared" si="0"/>
        <v>27</v>
      </c>
      <c r="B27" t="s">
        <v>116</v>
      </c>
      <c r="C27" s="37">
        <f>VLOOKUP(B27,'Int Data - Case 1'!A26:W76,12,FALSE)</f>
        <v>23.083333333333332</v>
      </c>
      <c r="D27" s="37">
        <f>VLOOKUP(B27,'Int Data - Case 2'!A26:W76,18,FALSE)</f>
        <v>7.5</v>
      </c>
      <c r="E27" s="37">
        <f>VLOOKUP(B27,'Int Data - Case 3'!A26:W76,13,FALSE)</f>
        <v>19.666666666666664</v>
      </c>
      <c r="F27" s="37">
        <f>VLOOKUP(B27,'Int Data - Case 4'!A26:W76,9,FALSE)</f>
        <v>27.25</v>
      </c>
      <c r="G27" s="37">
        <f>(C27*'State Ranking'!C$13)+(D27*'State Ranking'!D$13)+(E27*'State Ranking'!E$13)+(F27*'State Ranking'!F$13)</f>
        <v>23.083333333333332</v>
      </c>
    </row>
    <row r="28" spans="1:7" x14ac:dyDescent="0.35">
      <c r="A28">
        <f t="shared" si="0"/>
        <v>24</v>
      </c>
      <c r="B28" t="s">
        <v>119</v>
      </c>
      <c r="C28" s="37">
        <f>VLOOKUP(B28,'Int Data - Case 1'!A27:W77,12,FALSE)</f>
        <v>24.166666666666664</v>
      </c>
      <c r="D28" s="37">
        <f>VLOOKUP(B28,'Int Data - Case 2'!A27:W77,18,FALSE)</f>
        <v>29.25</v>
      </c>
      <c r="E28" s="37">
        <f>VLOOKUP(B28,'Int Data - Case 3'!A27:W77,13,FALSE)</f>
        <v>16</v>
      </c>
      <c r="F28" s="37">
        <f>VLOOKUP(B28,'Int Data - Case 4'!A27:W77,9,FALSE)</f>
        <v>10.5</v>
      </c>
      <c r="G28" s="37">
        <f>(C28*'State Ranking'!C$13)+(D28*'State Ranking'!D$13)+(E28*'State Ranking'!E$13)+(F28*'State Ranking'!F$13)</f>
        <v>24.166666666666664</v>
      </c>
    </row>
    <row r="29" spans="1:7" x14ac:dyDescent="0.35">
      <c r="A29">
        <f t="shared" si="0"/>
        <v>7</v>
      </c>
      <c r="B29" t="s">
        <v>121</v>
      </c>
      <c r="C29" s="37">
        <f>VLOOKUP(B29,'Int Data - Case 1'!A28:W78,12,FALSE)</f>
        <v>33.583333333333336</v>
      </c>
      <c r="D29" s="37">
        <f>VLOOKUP(B29,'Int Data - Case 2'!A28:W78,18,FALSE)</f>
        <v>13.25</v>
      </c>
      <c r="E29" s="37">
        <f>VLOOKUP(B29,'Int Data - Case 3'!A28:W78,13,FALSE)</f>
        <v>25.833333333333336</v>
      </c>
      <c r="F29" s="37">
        <f>VLOOKUP(B29,'Int Data - Case 4'!A28:W78,9,FALSE)</f>
        <v>32.25</v>
      </c>
      <c r="G29" s="37">
        <f>(C29*'State Ranking'!C$13)+(D29*'State Ranking'!D$13)+(E29*'State Ranking'!E$13)+(F29*'State Ranking'!F$13)</f>
        <v>33.583333333333336</v>
      </c>
    </row>
    <row r="30" spans="1:7" x14ac:dyDescent="0.35">
      <c r="A30">
        <f t="shared" si="0"/>
        <v>32</v>
      </c>
      <c r="B30" t="s">
        <v>123</v>
      </c>
      <c r="C30" s="37">
        <f>VLOOKUP(B30,'Int Data - Case 1'!A29:W79,12,FALSE)</f>
        <v>22</v>
      </c>
      <c r="D30" s="37">
        <f>VLOOKUP(B30,'Int Data - Case 2'!A29:W79,18,FALSE)</f>
        <v>5.25</v>
      </c>
      <c r="E30" s="37">
        <f>VLOOKUP(B30,'Int Data - Case 3'!A29:W79,13,FALSE)</f>
        <v>30.166666666666664</v>
      </c>
      <c r="F30" s="37">
        <f>VLOOKUP(B30,'Int Data - Case 4'!A29:W79,9,FALSE)</f>
        <v>10.5</v>
      </c>
      <c r="G30" s="37">
        <f>(C30*'State Ranking'!C$13)+(D30*'State Ranking'!D$13)+(E30*'State Ranking'!E$13)+(F30*'State Ranking'!F$13)</f>
        <v>22</v>
      </c>
    </row>
    <row r="31" spans="1:7" x14ac:dyDescent="0.35">
      <c r="A31">
        <f t="shared" si="0"/>
        <v>34</v>
      </c>
      <c r="B31" t="s">
        <v>125</v>
      </c>
      <c r="C31" s="37">
        <f>VLOOKUP(B31,'Int Data - Case 1'!A30:W80,12,FALSE)</f>
        <v>21</v>
      </c>
      <c r="D31" s="37">
        <f>VLOOKUP(B31,'Int Data - Case 2'!A30:W80,18,FALSE)</f>
        <v>30.25</v>
      </c>
      <c r="E31" s="37">
        <f>VLOOKUP(B31,'Int Data - Case 3'!A30:W80,13,FALSE)</f>
        <v>23.833333333333332</v>
      </c>
      <c r="F31" s="37">
        <f>VLOOKUP(B31,'Int Data - Case 4'!A30:W80,9,FALSE)</f>
        <v>39.5</v>
      </c>
      <c r="G31" s="37">
        <f>(C31*'State Ranking'!C$13)+(D31*'State Ranking'!D$13)+(E31*'State Ranking'!E$13)+(F31*'State Ranking'!F$13)</f>
        <v>21</v>
      </c>
    </row>
    <row r="32" spans="1:7" x14ac:dyDescent="0.35">
      <c r="A32">
        <f t="shared" si="0"/>
        <v>11</v>
      </c>
      <c r="B32" t="s">
        <v>128</v>
      </c>
      <c r="C32" s="37">
        <f>VLOOKUP(B32,'Int Data - Case 1'!A31:W81,12,FALSE)</f>
        <v>30.833333333333336</v>
      </c>
      <c r="D32" s="37">
        <f>VLOOKUP(B32,'Int Data - Case 2'!A31:W81,18,FALSE)</f>
        <v>36.5</v>
      </c>
      <c r="E32" s="37">
        <f>VLOOKUP(B32,'Int Data - Case 3'!A31:W81,13,FALSE)</f>
        <v>36.166666666666664</v>
      </c>
      <c r="F32" s="37">
        <f>VLOOKUP(B32,'Int Data - Case 4'!A31:W81,9,FALSE)</f>
        <v>27.25</v>
      </c>
      <c r="G32" s="37">
        <f>(C32*'State Ranking'!C$13)+(D32*'State Ranking'!D$13)+(E32*'State Ranking'!E$13)+(F32*'State Ranking'!F$13)</f>
        <v>30.833333333333336</v>
      </c>
    </row>
    <row r="33" spans="1:7" x14ac:dyDescent="0.35">
      <c r="A33">
        <f t="shared" si="0"/>
        <v>19</v>
      </c>
      <c r="B33" t="s">
        <v>130</v>
      </c>
      <c r="C33" s="37">
        <f>VLOOKUP(B33,'Int Data - Case 1'!A32:W82,12,FALSE)</f>
        <v>26.208333333333336</v>
      </c>
      <c r="D33" s="37">
        <f>VLOOKUP(B33,'Int Data - Case 2'!A32:W82,18,FALSE)</f>
        <v>31</v>
      </c>
      <c r="E33" s="37">
        <f>VLOOKUP(B33,'Int Data - Case 3'!A32:W82,13,FALSE)</f>
        <v>40.333333333333336</v>
      </c>
      <c r="F33" s="37">
        <f>VLOOKUP(B33,'Int Data - Case 4'!A32:W82,9,FALSE)</f>
        <v>24.75</v>
      </c>
      <c r="G33" s="37">
        <f>(C33*'State Ranking'!C$13)+(D33*'State Ranking'!D$13)+(E33*'State Ranking'!E$13)+(F33*'State Ranking'!F$13)</f>
        <v>26.208333333333336</v>
      </c>
    </row>
    <row r="34" spans="1:7" x14ac:dyDescent="0.35">
      <c r="A34">
        <f t="shared" ref="A34:A51" si="1">RANK(G34,G$2:G$51)</f>
        <v>25</v>
      </c>
      <c r="B34" t="s">
        <v>134</v>
      </c>
      <c r="C34" s="37">
        <f>VLOOKUP(B34,'Int Data - Case 1'!A33:W83,12,FALSE)</f>
        <v>23.583333333333336</v>
      </c>
      <c r="D34" s="37">
        <f>VLOOKUP(B34,'Int Data - Case 2'!A33:W83,18,FALSE)</f>
        <v>35.25</v>
      </c>
      <c r="E34" s="37">
        <f>VLOOKUP(B34,'Int Data - Case 3'!A33:W83,13,FALSE)</f>
        <v>15.5</v>
      </c>
      <c r="F34" s="37">
        <f>VLOOKUP(B34,'Int Data - Case 4'!A33:W83,9,FALSE)</f>
        <v>44.5</v>
      </c>
      <c r="G34" s="37">
        <f>(C34*'State Ranking'!C$13)+(D34*'State Ranking'!D$13)+(E34*'State Ranking'!E$13)+(F34*'State Ranking'!F$13)</f>
        <v>23.583333333333336</v>
      </c>
    </row>
    <row r="35" spans="1:7" x14ac:dyDescent="0.35">
      <c r="A35">
        <f t="shared" si="1"/>
        <v>44</v>
      </c>
      <c r="B35" t="s">
        <v>137</v>
      </c>
      <c r="C35" s="37">
        <f>VLOOKUP(B35,'Int Data - Case 1'!A34:W84,12,FALSE)</f>
        <v>16.666666666666664</v>
      </c>
      <c r="D35" s="37">
        <f>VLOOKUP(B35,'Int Data - Case 2'!A34:W84,18,FALSE)</f>
        <v>28.75</v>
      </c>
      <c r="E35" s="37">
        <f>VLOOKUP(B35,'Int Data - Case 3'!A34:W84,13,FALSE)</f>
        <v>13.5</v>
      </c>
      <c r="F35" s="37">
        <f>VLOOKUP(B35,'Int Data - Case 4'!A34:W84,9,FALSE)</f>
        <v>21.75</v>
      </c>
      <c r="G35" s="37">
        <f>(C35*'State Ranking'!C$13)+(D35*'State Ranking'!D$13)+(E35*'State Ranking'!E$13)+(F35*'State Ranking'!F$13)</f>
        <v>16.666666666666664</v>
      </c>
    </row>
    <row r="36" spans="1:7" x14ac:dyDescent="0.35">
      <c r="A36">
        <f t="shared" si="1"/>
        <v>33</v>
      </c>
      <c r="B36" t="s">
        <v>139</v>
      </c>
      <c r="C36" s="37">
        <f>VLOOKUP(B36,'Int Data - Case 1'!A35:W85,12,FALSE)</f>
        <v>21.916666666666664</v>
      </c>
      <c r="D36" s="37">
        <f>VLOOKUP(B36,'Int Data - Case 2'!A35:W85,18,FALSE)</f>
        <v>11</v>
      </c>
      <c r="E36" s="37">
        <f>VLOOKUP(B36,'Int Data - Case 3'!A35:W85,13,FALSE)</f>
        <v>23.5</v>
      </c>
      <c r="F36" s="37">
        <f>VLOOKUP(B36,'Int Data - Case 4'!A35:W85,9,FALSE)</f>
        <v>39.5</v>
      </c>
      <c r="G36" s="37">
        <f>(C36*'State Ranking'!C$13)+(D36*'State Ranking'!D$13)+(E36*'State Ranking'!E$13)+(F36*'State Ranking'!F$13)</f>
        <v>21.916666666666664</v>
      </c>
    </row>
    <row r="37" spans="1:7" x14ac:dyDescent="0.35">
      <c r="A37">
        <f t="shared" si="1"/>
        <v>6</v>
      </c>
      <c r="B37" t="s">
        <v>142</v>
      </c>
      <c r="C37" s="37">
        <f>VLOOKUP(B37,'Int Data - Case 1'!A36:W86,12,FALSE)</f>
        <v>33.666666666666664</v>
      </c>
      <c r="D37" s="37">
        <f>VLOOKUP(B37,'Int Data - Case 2'!A36:W86,18,FALSE)</f>
        <v>18</v>
      </c>
      <c r="E37" s="37">
        <f>VLOOKUP(B37,'Int Data - Case 3'!A36:W86,13,FALSE)</f>
        <v>30</v>
      </c>
      <c r="F37" s="37">
        <f>VLOOKUP(B37,'Int Data - Case 4'!A36:W86,9,FALSE)</f>
        <v>17.5</v>
      </c>
      <c r="G37" s="37">
        <f>(C37*'State Ranking'!C$13)+(D37*'State Ranking'!D$13)+(E37*'State Ranking'!E$13)+(F37*'State Ranking'!F$13)</f>
        <v>33.666666666666664</v>
      </c>
    </row>
    <row r="38" spans="1:7" x14ac:dyDescent="0.35">
      <c r="A38">
        <f t="shared" si="1"/>
        <v>17</v>
      </c>
      <c r="B38" t="s">
        <v>144</v>
      </c>
      <c r="C38" s="37">
        <f>VLOOKUP(B38,'Int Data - Case 1'!A37:W87,12,FALSE)</f>
        <v>27.583333333333336</v>
      </c>
      <c r="D38" s="37">
        <f>VLOOKUP(B38,'Int Data - Case 2'!A37:W87,18,FALSE)</f>
        <v>25.75</v>
      </c>
      <c r="E38" s="37">
        <f>VLOOKUP(B38,'Int Data - Case 3'!A37:W87,13,FALSE)</f>
        <v>44.5</v>
      </c>
      <c r="F38" s="37">
        <f>VLOOKUP(B38,'Int Data - Case 4'!A37:W87,9,FALSE)</f>
        <v>21.75</v>
      </c>
      <c r="G38" s="37">
        <f>(C38*'State Ranking'!C$13)+(D38*'State Ranking'!D$13)+(E38*'State Ranking'!E$13)+(F38*'State Ranking'!F$13)</f>
        <v>27.583333333333336</v>
      </c>
    </row>
    <row r="39" spans="1:7" x14ac:dyDescent="0.35">
      <c r="A39">
        <f t="shared" si="1"/>
        <v>12</v>
      </c>
      <c r="B39" t="s">
        <v>146</v>
      </c>
      <c r="C39" s="37">
        <f>VLOOKUP(B39,'Int Data - Case 1'!A38:W88,12,FALSE)</f>
        <v>29.833333333333336</v>
      </c>
      <c r="D39" s="37">
        <f>VLOOKUP(B39,'Int Data - Case 2'!A38:W88,18,FALSE)</f>
        <v>16.75</v>
      </c>
      <c r="E39" s="37">
        <f>VLOOKUP(B39,'Int Data - Case 3'!A38:W88,13,FALSE)</f>
        <v>36.666666666666664</v>
      </c>
      <c r="F39" s="37">
        <f>VLOOKUP(B39,'Int Data - Case 4'!A38:W88,9,FALSE)</f>
        <v>28.75</v>
      </c>
      <c r="G39" s="37">
        <f>(C39*'State Ranking'!C$13)+(D39*'State Ranking'!D$13)+(E39*'State Ranking'!E$13)+(F39*'State Ranking'!F$13)</f>
        <v>29.833333333333336</v>
      </c>
    </row>
    <row r="40" spans="1:7" x14ac:dyDescent="0.35">
      <c r="A40">
        <f t="shared" si="1"/>
        <v>20</v>
      </c>
      <c r="B40" t="s">
        <v>148</v>
      </c>
      <c r="C40" s="37">
        <f>VLOOKUP(B40,'Int Data - Case 1'!A39:W89,12,FALSE)</f>
        <v>25.333333333333336</v>
      </c>
      <c r="D40" s="37">
        <f>VLOOKUP(B40,'Int Data - Case 2'!A39:W89,18,FALSE)</f>
        <v>16.375</v>
      </c>
      <c r="E40" s="37">
        <f>VLOOKUP(B40,'Int Data - Case 3'!A39:W89,13,FALSE)</f>
        <v>30.833333333333332</v>
      </c>
      <c r="F40" s="37">
        <f>VLOOKUP(B40,'Int Data - Case 4'!A39:W89,9,FALSE)</f>
        <v>16.5</v>
      </c>
      <c r="G40" s="37">
        <f>(C40*'State Ranking'!C$13)+(D40*'State Ranking'!D$13)+(E40*'State Ranking'!E$13)+(F40*'State Ranking'!F$13)</f>
        <v>25.333333333333336</v>
      </c>
    </row>
    <row r="41" spans="1:7" x14ac:dyDescent="0.35">
      <c r="A41">
        <f t="shared" si="1"/>
        <v>14</v>
      </c>
      <c r="B41" t="s">
        <v>150</v>
      </c>
      <c r="C41" s="37">
        <f>VLOOKUP(B41,'Int Data - Case 1'!A40:W90,12,FALSE)</f>
        <v>28.583333333333332</v>
      </c>
      <c r="D41" s="37">
        <f>VLOOKUP(B41,'Int Data - Case 2'!A40:W90,18,FALSE)</f>
        <v>23.125</v>
      </c>
      <c r="E41" s="37">
        <f>VLOOKUP(B41,'Int Data - Case 3'!A40:W90,13,FALSE)</f>
        <v>23.166666666666668</v>
      </c>
      <c r="F41" s="37">
        <f>VLOOKUP(B41,'Int Data - Case 4'!A40:W90,9,FALSE)</f>
        <v>27.25</v>
      </c>
      <c r="G41" s="37">
        <f>(C41*'State Ranking'!C$13)+(D41*'State Ranking'!D$13)+(E41*'State Ranking'!E$13)+(F41*'State Ranking'!F$13)</f>
        <v>28.583333333333332</v>
      </c>
    </row>
    <row r="42" spans="1:7" x14ac:dyDescent="0.35">
      <c r="A42">
        <f t="shared" si="1"/>
        <v>42</v>
      </c>
      <c r="B42" t="s">
        <v>153</v>
      </c>
      <c r="C42" s="37">
        <f>VLOOKUP(B42,'Int Data - Case 1'!A41:W91,12,FALSE)</f>
        <v>17.666666666666664</v>
      </c>
      <c r="D42" s="37">
        <f>VLOOKUP(B42,'Int Data - Case 2'!A41:W91,18,FALSE)</f>
        <v>10.25</v>
      </c>
      <c r="E42" s="37">
        <f>VLOOKUP(B42,'Int Data - Case 3'!A41:W91,13,FALSE)</f>
        <v>3.3333333333333321</v>
      </c>
      <c r="F42" s="37">
        <f>VLOOKUP(B42,'Int Data - Case 4'!A41:W91,9,FALSE)</f>
        <v>12.5</v>
      </c>
      <c r="G42" s="37">
        <f>(C42*'State Ranking'!C$13)+(D42*'State Ranking'!D$13)+(E42*'State Ranking'!E$13)+(F42*'State Ranking'!F$13)</f>
        <v>17.666666666666664</v>
      </c>
    </row>
    <row r="43" spans="1:7" x14ac:dyDescent="0.35">
      <c r="A43">
        <f t="shared" si="1"/>
        <v>22</v>
      </c>
      <c r="B43" t="s">
        <v>155</v>
      </c>
      <c r="C43" s="37">
        <f>VLOOKUP(B43,'Int Data - Case 1'!A42:W92,12,FALSE)</f>
        <v>24.916666666666664</v>
      </c>
      <c r="D43" s="37">
        <f>VLOOKUP(B43,'Int Data - Case 2'!A42:W92,18,FALSE)</f>
        <v>31</v>
      </c>
      <c r="E43" s="37">
        <f>VLOOKUP(B43,'Int Data - Case 3'!A42:W92,13,FALSE)</f>
        <v>39.5</v>
      </c>
      <c r="F43" s="37">
        <f>VLOOKUP(B43,'Int Data - Case 4'!A42:W92,9,FALSE)</f>
        <v>44.5</v>
      </c>
      <c r="G43" s="37">
        <f>(C43*'State Ranking'!C$13)+(D43*'State Ranking'!D$13)+(E43*'State Ranking'!E$13)+(F43*'State Ranking'!F$13)</f>
        <v>24.916666666666664</v>
      </c>
    </row>
    <row r="44" spans="1:7" x14ac:dyDescent="0.35">
      <c r="A44">
        <f t="shared" si="1"/>
        <v>15</v>
      </c>
      <c r="B44" t="s">
        <v>158</v>
      </c>
      <c r="C44" s="37">
        <f>VLOOKUP(B44,'Int Data - Case 1'!A43:W93,12,FALSE)</f>
        <v>28.5</v>
      </c>
      <c r="D44" s="37">
        <f>VLOOKUP(B44,'Int Data - Case 2'!A43:W93,18,FALSE)</f>
        <v>31.5</v>
      </c>
      <c r="E44" s="37">
        <f>VLOOKUP(B44,'Int Data - Case 3'!A43:W93,13,FALSE)</f>
        <v>18.166666666666664</v>
      </c>
      <c r="F44" s="37">
        <f>VLOOKUP(B44,'Int Data - Case 4'!A43:W93,9,FALSE)</f>
        <v>21.75</v>
      </c>
      <c r="G44" s="37">
        <f>(C44*'State Ranking'!C$13)+(D44*'State Ranking'!D$13)+(E44*'State Ranking'!E$13)+(F44*'State Ranking'!F$13)</f>
        <v>28.5</v>
      </c>
    </row>
    <row r="45" spans="1:7" x14ac:dyDescent="0.35">
      <c r="A45">
        <f t="shared" si="1"/>
        <v>31</v>
      </c>
      <c r="B45" t="s">
        <v>161</v>
      </c>
      <c r="C45" s="37">
        <f>VLOOKUP(B45,'Int Data - Case 1'!A44:W94,12,FALSE)</f>
        <v>22.166666666666664</v>
      </c>
      <c r="D45" s="37">
        <f>VLOOKUP(B45,'Int Data - Case 2'!A44:W94,18,FALSE)</f>
        <v>20</v>
      </c>
      <c r="E45" s="37">
        <f>VLOOKUP(B45,'Int Data - Case 3'!A44:W94,13,FALSE)</f>
        <v>23</v>
      </c>
      <c r="F45" s="37">
        <f>VLOOKUP(B45,'Int Data - Case 4'!A44:W94,9,FALSE)</f>
        <v>21.75</v>
      </c>
      <c r="G45" s="37">
        <f>(C45*'State Ranking'!C$13)+(D45*'State Ranking'!D$13)+(E45*'State Ranking'!E$13)+(F45*'State Ranking'!F$13)</f>
        <v>22.166666666666664</v>
      </c>
    </row>
    <row r="46" spans="1:7" x14ac:dyDescent="0.35">
      <c r="A46">
        <f t="shared" si="1"/>
        <v>50</v>
      </c>
      <c r="B46" t="s">
        <v>163</v>
      </c>
      <c r="C46" s="37">
        <f>VLOOKUP(B46,'Int Data - Case 1'!A45:W95,12,FALSE)</f>
        <v>6.0833333333333321</v>
      </c>
      <c r="D46" s="37">
        <f>VLOOKUP(B46,'Int Data - Case 2'!A45:W95,18,FALSE)</f>
        <v>18.75</v>
      </c>
      <c r="E46" s="37">
        <f>VLOOKUP(B46,'Int Data - Case 3'!A45:W95,13,FALSE)</f>
        <v>16.5</v>
      </c>
      <c r="F46" s="37">
        <f>VLOOKUP(B46,'Int Data - Case 4'!A45:W95,9,FALSE)</f>
        <v>12.5</v>
      </c>
      <c r="G46" s="37">
        <f>(C46*'State Ranking'!C$13)+(D46*'State Ranking'!D$13)+(E46*'State Ranking'!E$13)+(F46*'State Ranking'!F$13)</f>
        <v>6.0833333333333321</v>
      </c>
    </row>
    <row r="47" spans="1:7" x14ac:dyDescent="0.35">
      <c r="A47">
        <f t="shared" si="1"/>
        <v>46</v>
      </c>
      <c r="B47" t="s">
        <v>165</v>
      </c>
      <c r="C47" s="37">
        <f>VLOOKUP(B47,'Int Data - Case 1'!A46:W96,12,FALSE)</f>
        <v>15.958333333333334</v>
      </c>
      <c r="D47" s="37">
        <f>VLOOKUP(B47,'Int Data - Case 2'!A46:W96,18,FALSE)</f>
        <v>27.75</v>
      </c>
      <c r="E47" s="37">
        <f>VLOOKUP(B47,'Int Data - Case 3'!A46:W96,13,FALSE)</f>
        <v>19.166666666666668</v>
      </c>
      <c r="F47" s="37">
        <f>VLOOKUP(B47,'Int Data - Case 4'!A46:W96,9,FALSE)</f>
        <v>21.75</v>
      </c>
      <c r="G47" s="37">
        <f>(C47*'State Ranking'!C$13)+(D47*'State Ranking'!D$13)+(E47*'State Ranking'!E$13)+(F47*'State Ranking'!F$13)</f>
        <v>15.958333333333334</v>
      </c>
    </row>
    <row r="48" spans="1:7" x14ac:dyDescent="0.35">
      <c r="A48">
        <f t="shared" si="1"/>
        <v>40</v>
      </c>
      <c r="B48" t="s">
        <v>167</v>
      </c>
      <c r="C48" s="37">
        <f>VLOOKUP(B48,'Int Data - Case 1'!A47:W97,12,FALSE)</f>
        <v>18.666666666666664</v>
      </c>
      <c r="D48" s="37">
        <f>VLOOKUP(B48,'Int Data - Case 2'!A47:W97,18,FALSE)</f>
        <v>32.5</v>
      </c>
      <c r="E48" s="37">
        <f>VLOOKUP(B48,'Int Data - Case 3'!A47:W97,13,FALSE)</f>
        <v>30.5</v>
      </c>
      <c r="F48" s="37">
        <f>VLOOKUP(B48,'Int Data - Case 4'!A47:W97,9,FALSE)</f>
        <v>39.5</v>
      </c>
      <c r="G48" s="37">
        <f>(C48*'State Ranking'!C$13)+(D48*'State Ranking'!D$13)+(E48*'State Ranking'!E$13)+(F48*'State Ranking'!F$13)</f>
        <v>18.666666666666664</v>
      </c>
    </row>
    <row r="49" spans="1:7" x14ac:dyDescent="0.35">
      <c r="A49">
        <f t="shared" si="1"/>
        <v>9</v>
      </c>
      <c r="B49" t="s">
        <v>170</v>
      </c>
      <c r="C49" s="37">
        <f>VLOOKUP(B49,'Int Data - Case 1'!A48:W98,12,FALSE)</f>
        <v>32.25</v>
      </c>
      <c r="D49" s="37">
        <f>VLOOKUP(B49,'Int Data - Case 2'!A48:W98,18,FALSE)</f>
        <v>24.5</v>
      </c>
      <c r="E49" s="37">
        <f>VLOOKUP(B49,'Int Data - Case 3'!A48:W98,13,FALSE)</f>
        <v>34.666666666666671</v>
      </c>
      <c r="F49" s="37">
        <f>VLOOKUP(B49,'Int Data - Case 4'!A48:W98,9,FALSE)</f>
        <v>34</v>
      </c>
      <c r="G49" s="37">
        <f>(C49*'State Ranking'!C$13)+(D49*'State Ranking'!D$13)+(E49*'State Ranking'!E$13)+(F49*'State Ranking'!F$13)</f>
        <v>32.25</v>
      </c>
    </row>
    <row r="50" spans="1:7" x14ac:dyDescent="0.35">
      <c r="A50">
        <f t="shared" si="1"/>
        <v>39</v>
      </c>
      <c r="B50" t="s">
        <v>173</v>
      </c>
      <c r="C50" s="37">
        <f>VLOOKUP(B50,'Int Data - Case 1'!A49:W99,12,FALSE)</f>
        <v>19.416666666666664</v>
      </c>
      <c r="D50" s="37">
        <f>VLOOKUP(B50,'Int Data - Case 2'!A49:W99,18,FALSE)</f>
        <v>24.25</v>
      </c>
      <c r="E50" s="37">
        <f>VLOOKUP(B50,'Int Data - Case 3'!A49:W99,13,FALSE)</f>
        <v>10.333333333333332</v>
      </c>
      <c r="F50" s="37">
        <f>VLOOKUP(B50,'Int Data - Case 4'!A49:W99,9,FALSE)</f>
        <v>21.75</v>
      </c>
      <c r="G50" s="37">
        <f>(C50*'State Ranking'!C$13)+(D50*'State Ranking'!D$13)+(E50*'State Ranking'!E$13)+(F50*'State Ranking'!F$13)</f>
        <v>19.416666666666664</v>
      </c>
    </row>
    <row r="51" spans="1:7" x14ac:dyDescent="0.35">
      <c r="A51">
        <f t="shared" si="1"/>
        <v>23</v>
      </c>
      <c r="B51" t="s">
        <v>175</v>
      </c>
      <c r="C51" s="37">
        <f>VLOOKUP(B51,'Int Data - Case 1'!A50:W100,12,FALSE)</f>
        <v>24.25</v>
      </c>
      <c r="D51" s="37">
        <f>VLOOKUP(B51,'Int Data - Case 2'!A50:W100,18,FALSE)</f>
        <v>39.625</v>
      </c>
      <c r="E51" s="37">
        <f>VLOOKUP(B51,'Int Data - Case 3'!A50:W100,13,FALSE)</f>
        <v>22.666666666666664</v>
      </c>
      <c r="F51" s="37">
        <f>VLOOKUP(B51,'Int Data - Case 4'!A50:W100,9,FALSE)</f>
        <v>27.25</v>
      </c>
      <c r="G51" s="37">
        <f>(C51*'State Ranking'!C$13)+(D51*'State Ranking'!D$13)+(E51*'State Ranking'!E$13)+(F51*'State Ranking'!F$13)</f>
        <v>24.25</v>
      </c>
    </row>
    <row r="53" spans="1:7" x14ac:dyDescent="0.35">
      <c r="A53" t="s">
        <v>228</v>
      </c>
      <c r="B53" t="s">
        <v>229</v>
      </c>
      <c r="C53" t="s">
        <v>228</v>
      </c>
      <c r="D53" t="s">
        <v>228</v>
      </c>
      <c r="E53" t="s">
        <v>228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69E03-343C-4876-8AC9-807E8EA4CCFB}">
  <dimension ref="A1:U51"/>
  <sheetViews>
    <sheetView workbookViewId="0">
      <selection activeCell="S6" sqref="S6"/>
    </sheetView>
  </sheetViews>
  <sheetFormatPr defaultRowHeight="14.5" x14ac:dyDescent="0.35"/>
  <cols>
    <col min="21" max="21" width="10.08984375" customWidth="1"/>
  </cols>
  <sheetData>
    <row r="1" spans="1:21" ht="145" x14ac:dyDescent="0.35">
      <c r="A1" s="25" t="s">
        <v>20</v>
      </c>
      <c r="B1" s="25" t="s">
        <v>22</v>
      </c>
      <c r="C1" s="20" t="s">
        <v>179</v>
      </c>
      <c r="D1" s="62" t="s">
        <v>180</v>
      </c>
      <c r="E1" s="26" t="s">
        <v>181</v>
      </c>
      <c r="F1" s="20" t="s">
        <v>182</v>
      </c>
      <c r="G1" s="26" t="s">
        <v>654</v>
      </c>
      <c r="H1" s="27" t="s">
        <v>183</v>
      </c>
      <c r="I1" s="20" t="s">
        <v>184</v>
      </c>
      <c r="J1" s="20" t="s">
        <v>202</v>
      </c>
      <c r="K1" s="27" t="s">
        <v>183</v>
      </c>
      <c r="L1" s="20" t="s">
        <v>185</v>
      </c>
      <c r="M1" s="20" t="s">
        <v>186</v>
      </c>
      <c r="N1" s="27" t="s">
        <v>183</v>
      </c>
      <c r="O1" s="20" t="s">
        <v>187</v>
      </c>
      <c r="P1" s="20" t="s">
        <v>188</v>
      </c>
      <c r="Q1" s="20" t="s">
        <v>189</v>
      </c>
      <c r="R1" s="27" t="s">
        <v>183</v>
      </c>
      <c r="S1" s="20" t="s">
        <v>671</v>
      </c>
      <c r="T1" s="20" t="s">
        <v>672</v>
      </c>
      <c r="U1" s="62" t="s">
        <v>673</v>
      </c>
    </row>
    <row r="2" spans="1:21" x14ac:dyDescent="0.35">
      <c r="A2" s="29" t="s">
        <v>50</v>
      </c>
      <c r="B2" s="30" t="s">
        <v>51</v>
      </c>
      <c r="C2">
        <f>IF(COUNTBLANK(RawData[[#This Row],[Associate Degree Premium (Over HS)]])=0,_xlfn.RANK.AVG(RawData[[#This Row],[Associate Degree Premium (Over HS)]],RawData[Associate Degree Premium (Over HS)]),"")</f>
        <v>14</v>
      </c>
      <c r="D2">
        <f>IF(COUNTBLANK(RawData[[#This Row],[High-Opp Job Openings per 1,000 working age residents]])=0,_xlfn.RANK.AVG(RawData[[#This Row],[High-Opp Job Openings per 1,000 working age residents]],RawData[High-Opp Job Openings per 1,000 working age residents],0),"")</f>
        <v>36</v>
      </c>
      <c r="E2">
        <f>IF(COUNTBLANK(RawData[[#This Row],[2024 Annual Unemployment Rate]])=0,_xlfn.RANK.AVG(RawData[[#This Row],[2024 Annual Unemployment Rate]],RawData[2024 Annual Unemployment Rate],0),"")</f>
        <v>37.5</v>
      </c>
      <c r="F2">
        <f>IF(COUNTBLANK(RawData[[#This Row],[2023 Attainment of Associate''s Degree or Higher (25 - 64 year olds)]])=0,_xlfn.RANK.AVG(RawData[[#This Row],[2023 Attainment of Associate''s Degree or Higher (25 - 64 year olds)]],RawData[2023 Attainment of Associate''s Degree or Higher (25 - 64 year olds)],1),"")</f>
        <v>7.5</v>
      </c>
      <c r="G2">
        <f>IF(COUNTBLANK(RawData[[#This Row],[SCNC Under 65 Counts Per 1,000 Undergrad Enrollment]])=0,_xlfn.RANK.AVG(RawData[[#This Row],[SCNC Under 65 Counts Per 1,000 Undergrad Enrollment]],RawData[SCNC Under 65 Counts Per 1,000 Undergrad Enrollment],0),"")</f>
        <v>34</v>
      </c>
      <c r="H2" s="31"/>
      <c r="I2">
        <f>50-(AVERAGE(C2:E2))</f>
        <v>20.833333333333332</v>
      </c>
      <c r="J2">
        <f>50-(AVERAGE(F2:G2))</f>
        <v>29.25</v>
      </c>
      <c r="K2" s="31"/>
      <c r="L2">
        <f>AVERAGE(I2:J2)</f>
        <v>25.041666666666664</v>
      </c>
      <c r="M2">
        <f>RANK(L2,L$2:L$51,0)</f>
        <v>21</v>
      </c>
      <c r="N2" s="31"/>
      <c r="O2">
        <f>IF(A2='State Detail'!BM$7,1,0)</f>
        <v>0</v>
      </c>
      <c r="P2" s="24" t="e">
        <f>IF(O2=1,I2,NA())</f>
        <v>#N/A</v>
      </c>
      <c r="Q2" s="24" t="e">
        <f>IF(O2=1,J2,NA())</f>
        <v>#N/A</v>
      </c>
      <c r="R2" s="31"/>
      <c r="S2">
        <f>IF(COUNTBLANK(RawData[[#This Row],[Bachelor''s Degree Premium (Over HS)]])=0,_xlfn.RANK.AVG(RawData[[#This Row],[Bachelor''s Degree Premium (Over HS)]],RawData[Bachelor''s Degree Premium (Over HS)]),"")</f>
        <v>19</v>
      </c>
      <c r="T2">
        <f>IF(COUNTBLANK(RawData[[#This Row],[2023 Attainment of Bachelor''s Degree or higher]])=0,_xlfn.RANK.AVG(RawData[[#This Row],[2023 Attainment of Bachelor''s Degree or higher]],RawData[2023 Attainment of Bachelor''s Degree or higher],1),"")</f>
        <v>7.5</v>
      </c>
      <c r="U2">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40</v>
      </c>
    </row>
    <row r="3" spans="1:21" x14ac:dyDescent="0.35">
      <c r="A3" s="29" t="s">
        <v>54</v>
      </c>
      <c r="B3" s="30" t="s">
        <v>55</v>
      </c>
      <c r="C3">
        <f>IF(COUNTBLANK(RawData[[#This Row],[Associate Degree Premium (Over HS)]])=0,_xlfn.RANK.AVG(RawData[[#This Row],[Associate Degree Premium (Over HS)]],RawData[Associate Degree Premium (Over HS)]),"")</f>
        <v>2</v>
      </c>
      <c r="D3">
        <f>IF(COUNTBLANK(RawData[[#This Row],[High-Opp Job Openings per 1,000 working age residents]])=0,_xlfn.RANK.AVG(RawData[[#This Row],[High-Opp Job Openings per 1,000 working age residents]],RawData[High-Opp Job Openings per 1,000 working age residents],0),"")</f>
        <v>11</v>
      </c>
      <c r="E3">
        <f>IF(COUNTBLANK(RawData[[#This Row],[2024 Annual Unemployment Rate]])=0,_xlfn.RANK.AVG(RawData[[#This Row],[2024 Annual Unemployment Rate]],RawData[2024 Annual Unemployment Rate],0),"")</f>
        <v>6</v>
      </c>
      <c r="F3">
        <f>IF(COUNTBLANK(RawData[[#This Row],[2023 Attainment of Associate''s Degree or Higher (25 - 64 year olds)]])=0,_xlfn.RANK.AVG(RawData[[#This Row],[2023 Attainment of Associate''s Degree or Higher (25 - 64 year olds)]],RawData[2023 Attainment of Associate''s Degree or Higher (25 - 64 year olds)],1),"")</f>
        <v>11</v>
      </c>
      <c r="G3">
        <f>IF(COUNTBLANK(RawData[[#This Row],[SCNC Under 65 Counts Per 1,000 Undergrad Enrollment]])=0,_xlfn.RANK.AVG(RawData[[#This Row],[SCNC Under 65 Counts Per 1,000 Undergrad Enrollment]],RawData[SCNC Under 65 Counts Per 1,000 Undergrad Enrollment],0),"")</f>
        <v>1</v>
      </c>
      <c r="H3" s="31"/>
      <c r="I3">
        <f t="shared" ref="I3:I51" si="0">50-(AVERAGE(C3:E3))</f>
        <v>43.666666666666664</v>
      </c>
      <c r="J3">
        <f t="shared" ref="J3:J51" si="1">50-(AVERAGE(F3:G3))</f>
        <v>44</v>
      </c>
      <c r="K3" s="31"/>
      <c r="L3">
        <f>AVERAGE(I3:J3)</f>
        <v>43.833333333333329</v>
      </c>
      <c r="M3">
        <f t="shared" ref="M3:M51" si="2">RANK(L3,L$2:L$51,0)</f>
        <v>1</v>
      </c>
      <c r="N3" s="31"/>
      <c r="O3">
        <f>IF(A3='State Detail'!BM$7,1,0)</f>
        <v>0</v>
      </c>
      <c r="P3" s="24" t="e">
        <f t="shared" ref="P3:P51" si="3">IF(O3=1,I3,NA())</f>
        <v>#N/A</v>
      </c>
      <c r="Q3" s="24" t="e">
        <f t="shared" ref="Q3:Q51" si="4">IF(O3=1,J3,NA())</f>
        <v>#N/A</v>
      </c>
      <c r="R3" s="31"/>
      <c r="S3">
        <f>IF(COUNTBLANK(RawData[[#This Row],[Bachelor''s Degree Premium (Over HS)]])=0,_xlfn.RANK.AVG(RawData[[#This Row],[Bachelor''s Degree Premium (Over HS)]],RawData[Bachelor''s Degree Premium (Over HS)]),"")</f>
        <v>25</v>
      </c>
      <c r="T3">
        <f>IF(COUNTBLANK(RawData[[#This Row],[2023 Attainment of Bachelor''s Degree or higher]])=0,_xlfn.RANK.AVG(RawData[[#This Row],[2023 Attainment of Bachelor''s Degree or higher]],RawData[2023 Attainment of Bachelor''s Degree or higher],1),"")</f>
        <v>12</v>
      </c>
      <c r="U3">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48</v>
      </c>
    </row>
    <row r="4" spans="1:21" x14ac:dyDescent="0.35">
      <c r="A4" s="29" t="s">
        <v>56</v>
      </c>
      <c r="B4" s="30" t="s">
        <v>57</v>
      </c>
      <c r="C4">
        <f>IF(COUNTBLANK(RawData[[#This Row],[Associate Degree Premium (Over HS)]])=0,_xlfn.RANK.AVG(RawData[[#This Row],[Associate Degree Premium (Over HS)]],RawData[Associate Degree Premium (Over HS)]),"")</f>
        <v>16</v>
      </c>
      <c r="D4">
        <f>IF(COUNTBLANK(RawData[[#This Row],[High-Opp Job Openings per 1,000 working age residents]])=0,_xlfn.RANK.AVG(RawData[[#This Row],[High-Opp Job Openings per 1,000 working age residents]],RawData[High-Opp Job Openings per 1,000 working age residents],0),"")</f>
        <v>28</v>
      </c>
      <c r="E4">
        <f>IF(COUNTBLANK(RawData[[#This Row],[2024 Annual Unemployment Rate]])=0,_xlfn.RANK.AVG(RawData[[#This Row],[2024 Annual Unemployment Rate]],RawData[2024 Annual Unemployment Rate],0),"")</f>
        <v>25.5</v>
      </c>
      <c r="F4">
        <f>IF(COUNTBLANK(RawData[[#This Row],[2023 Attainment of Associate''s Degree or Higher (25 - 64 year olds)]])=0,_xlfn.RANK.AVG(RawData[[#This Row],[2023 Attainment of Associate''s Degree or Higher (25 - 64 year olds)]],RawData[2023 Attainment of Associate''s Degree or Higher (25 - 64 year olds)],1),"")</f>
        <v>15</v>
      </c>
      <c r="G4">
        <f>IF(COUNTBLANK(RawData[[#This Row],[SCNC Under 65 Counts Per 1,000 Undergrad Enrollment]])=0,_xlfn.RANK.AVG(RawData[[#This Row],[SCNC Under 65 Counts Per 1,000 Undergrad Enrollment]],RawData[SCNC Under 65 Counts Per 1,000 Undergrad Enrollment],0),"")</f>
        <v>48</v>
      </c>
      <c r="H4" s="31"/>
      <c r="I4">
        <f t="shared" si="0"/>
        <v>26.833333333333332</v>
      </c>
      <c r="J4">
        <f t="shared" si="1"/>
        <v>18.5</v>
      </c>
      <c r="K4" s="31"/>
      <c r="L4">
        <f t="shared" ref="L4:L51" si="5">AVERAGE(I4:J4)</f>
        <v>22.666666666666664</v>
      </c>
      <c r="M4">
        <f t="shared" si="2"/>
        <v>29</v>
      </c>
      <c r="N4" s="31"/>
      <c r="O4">
        <f>IF(A4='State Detail'!BM$7,1,0)</f>
        <v>0</v>
      </c>
      <c r="P4" s="24" t="e">
        <f t="shared" si="3"/>
        <v>#N/A</v>
      </c>
      <c r="Q4" s="24" t="e">
        <f t="shared" si="4"/>
        <v>#N/A</v>
      </c>
      <c r="R4" s="31"/>
      <c r="S4">
        <f>IF(COUNTBLANK(RawData[[#This Row],[Bachelor''s Degree Premium (Over HS)]])=0,_xlfn.RANK.AVG(RawData[[#This Row],[Bachelor''s Degree Premium (Over HS)]],RawData[Bachelor''s Degree Premium (Over HS)]),"")</f>
        <v>22</v>
      </c>
      <c r="T4">
        <f>IF(COUNTBLANK(RawData[[#This Row],[2023 Attainment of Bachelor''s Degree or higher]])=0,_xlfn.RANK.AVG(RawData[[#This Row],[2023 Attainment of Bachelor''s Degree or higher]],RawData[2023 Attainment of Bachelor''s Degree or higher],1),"")</f>
        <v>16</v>
      </c>
      <c r="U4">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10</v>
      </c>
    </row>
    <row r="5" spans="1:21" x14ac:dyDescent="0.35">
      <c r="A5" s="29" t="s">
        <v>61</v>
      </c>
      <c r="B5" s="30" t="s">
        <v>62</v>
      </c>
      <c r="C5">
        <f>IF(COUNTBLANK(RawData[[#This Row],[Associate Degree Premium (Over HS)]])=0,_xlfn.RANK.AVG(RawData[[#This Row],[Associate Degree Premium (Over HS)]],RawData[Associate Degree Premium (Over HS)]),"")</f>
        <v>42</v>
      </c>
      <c r="D5">
        <f>IF(COUNTBLANK(RawData[[#This Row],[High-Opp Job Openings per 1,000 working age residents]])=0,_xlfn.RANK.AVG(RawData[[#This Row],[High-Opp Job Openings per 1,000 working age residents]],RawData[High-Opp Job Openings per 1,000 working age residents],0),"")</f>
        <v>41</v>
      </c>
      <c r="E5">
        <f>IF(COUNTBLANK(RawData[[#This Row],[2024 Annual Unemployment Rate]])=0,_xlfn.RANK.AVG(RawData[[#This Row],[2024 Annual Unemployment Rate]],RawData[2024 Annual Unemployment Rate],0),"")</f>
        <v>28.5</v>
      </c>
      <c r="F5">
        <f>IF(COUNTBLANK(RawData[[#This Row],[2023 Attainment of Associate''s Degree or Higher (25 - 64 year olds)]])=0,_xlfn.RANK.AVG(RawData[[#This Row],[2023 Attainment of Associate''s Degree or Higher (25 - 64 year olds)]],RawData[2023 Attainment of Associate''s Degree or Higher (25 - 64 year olds)],1),"")</f>
        <v>2</v>
      </c>
      <c r="G5">
        <f>IF(COUNTBLANK(RawData[[#This Row],[SCNC Under 65 Counts Per 1,000 Undergrad Enrollment]])=0,_xlfn.RANK.AVG(RawData[[#This Row],[SCNC Under 65 Counts Per 1,000 Undergrad Enrollment]],RawData[SCNC Under 65 Counts Per 1,000 Undergrad Enrollment],0),"")</f>
        <v>16</v>
      </c>
      <c r="H5" s="31"/>
      <c r="I5">
        <f t="shared" si="0"/>
        <v>12.833333333333336</v>
      </c>
      <c r="J5">
        <f t="shared" si="1"/>
        <v>41</v>
      </c>
      <c r="K5" s="31"/>
      <c r="L5">
        <f>AVERAGE(I5:J5)</f>
        <v>26.916666666666668</v>
      </c>
      <c r="M5">
        <f t="shared" si="2"/>
        <v>18</v>
      </c>
      <c r="N5" s="31"/>
      <c r="O5">
        <f>IF(A5='State Detail'!BM$7,1,0)</f>
        <v>0</v>
      </c>
      <c r="P5" s="24" t="e">
        <f t="shared" si="3"/>
        <v>#N/A</v>
      </c>
      <c r="Q5" s="24" t="e">
        <f t="shared" si="4"/>
        <v>#N/A</v>
      </c>
      <c r="R5" s="31"/>
      <c r="S5">
        <f>IF(COUNTBLANK(RawData[[#This Row],[Bachelor''s Degree Premium (Over HS)]])=0,_xlfn.RANK.AVG(RawData[[#This Row],[Bachelor''s Degree Premium (Over HS)]],RawData[Bachelor''s Degree Premium (Over HS)]),"")</f>
        <v>32</v>
      </c>
      <c r="T5">
        <f>IF(COUNTBLANK(RawData[[#This Row],[2023 Attainment of Bachelor''s Degree or higher]])=0,_xlfn.RANK.AVG(RawData[[#This Row],[2023 Attainment of Bachelor''s Degree or higher]],RawData[2023 Attainment of Bachelor''s Degree or higher],1),"")</f>
        <v>3</v>
      </c>
      <c r="U5">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27</v>
      </c>
    </row>
    <row r="6" spans="1:21" x14ac:dyDescent="0.35">
      <c r="A6" s="29" t="s">
        <v>2</v>
      </c>
      <c r="B6" s="30" t="s">
        <v>63</v>
      </c>
      <c r="C6">
        <f>IF(COUNTBLANK(RawData[[#This Row],[Associate Degree Premium (Over HS)]])=0,_xlfn.RANK.AVG(RawData[[#This Row],[Associate Degree Premium (Over HS)]],RawData[Associate Degree Premium (Over HS)]),"")</f>
        <v>13</v>
      </c>
      <c r="D6">
        <f>IF(COUNTBLANK(RawData[[#This Row],[High-Opp Job Openings per 1,000 working age residents]])=0,_xlfn.RANK.AVG(RawData[[#This Row],[High-Opp Job Openings per 1,000 working age residents]],RawData[High-Opp Job Openings per 1,000 working age residents],0),"")</f>
        <v>14</v>
      </c>
      <c r="E6">
        <f>IF(COUNTBLANK(RawData[[#This Row],[2024 Annual Unemployment Rate]])=0,_xlfn.RANK.AVG(RawData[[#This Row],[2024 Annual Unemployment Rate]],RawData[2024 Annual Unemployment Rate],0),"")</f>
        <v>2</v>
      </c>
      <c r="F6">
        <f>IF(COUNTBLANK(RawData[[#This Row],[2023 Attainment of Associate''s Degree or Higher (25 - 64 year olds)]])=0,_xlfn.RANK.AVG(RawData[[#This Row],[2023 Attainment of Associate''s Degree or Higher (25 - 64 year olds)]],RawData[2023 Attainment of Associate''s Degree or Higher (25 - 64 year olds)],1),"")</f>
        <v>24</v>
      </c>
      <c r="G6">
        <f>IF(COUNTBLANK(RawData[[#This Row],[SCNC Under 65 Counts Per 1,000 Undergrad Enrollment]])=0,_xlfn.RANK.AVG(RawData[[#This Row],[SCNC Under 65 Counts Per 1,000 Undergrad Enrollment]],RawData[SCNC Under 65 Counts Per 1,000 Undergrad Enrollment],0),"")</f>
        <v>18</v>
      </c>
      <c r="H6" s="31"/>
      <c r="I6">
        <f t="shared" si="0"/>
        <v>40.333333333333336</v>
      </c>
      <c r="J6">
        <f t="shared" si="1"/>
        <v>29</v>
      </c>
      <c r="K6" s="31"/>
      <c r="L6">
        <f t="shared" si="5"/>
        <v>34.666666666666671</v>
      </c>
      <c r="M6">
        <f t="shared" si="2"/>
        <v>5</v>
      </c>
      <c r="N6" s="31"/>
      <c r="O6">
        <f>IF(A6='State Detail'!BM$7,1,0)</f>
        <v>0</v>
      </c>
      <c r="P6" s="24" t="e">
        <f t="shared" si="3"/>
        <v>#N/A</v>
      </c>
      <c r="Q6" s="24" t="e">
        <f t="shared" si="4"/>
        <v>#N/A</v>
      </c>
      <c r="R6" s="31"/>
      <c r="S6">
        <f>IF(COUNTBLANK(RawData[[#This Row],[Bachelor''s Degree Premium (Over HS)]])=0,_xlfn.RANK.AVG(RawData[[#This Row],[Bachelor''s Degree Premium (Over HS)]],RawData[Bachelor''s Degree Premium (Over HS)]),"")</f>
        <v>1</v>
      </c>
      <c r="T6">
        <f>IF(COUNTBLANK(RawData[[#This Row],[2023 Attainment of Bachelor''s Degree or higher]])=0,_xlfn.RANK.AVG(RawData[[#This Row],[2023 Attainment of Bachelor''s Degree or higher]],RawData[2023 Attainment of Bachelor''s Degree or higher],1),"")</f>
        <v>36.5</v>
      </c>
      <c r="U6">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22</v>
      </c>
    </row>
    <row r="7" spans="1:21" x14ac:dyDescent="0.35">
      <c r="A7" s="29" t="s">
        <v>67</v>
      </c>
      <c r="B7" s="30" t="s">
        <v>68</v>
      </c>
      <c r="C7">
        <f>IF(COUNTBLANK(RawData[[#This Row],[Associate Degree Premium (Over HS)]])=0,_xlfn.RANK.AVG(RawData[[#This Row],[Associate Degree Premium (Over HS)]],RawData[Associate Degree Premium (Over HS)]),"")</f>
        <v>48</v>
      </c>
      <c r="D7">
        <f>IF(COUNTBLANK(RawData[[#This Row],[High-Opp Job Openings per 1,000 working age residents]])=0,_xlfn.RANK.AVG(RawData[[#This Row],[High-Opp Job Openings per 1,000 working age residents]],RawData[High-Opp Job Openings per 1,000 working age residents],0),"")</f>
        <v>9</v>
      </c>
      <c r="E7">
        <f>IF(COUNTBLANK(RawData[[#This Row],[2024 Annual Unemployment Rate]])=0,_xlfn.RANK.AVG(RawData[[#This Row],[2024 Annual Unemployment Rate]],RawData[2024 Annual Unemployment Rate],0),"")</f>
        <v>11.5</v>
      </c>
      <c r="F7">
        <f>IF(COUNTBLANK(RawData[[#This Row],[2023 Attainment of Associate''s Degree or Higher (25 - 64 year olds)]])=0,_xlfn.RANK.AVG(RawData[[#This Row],[2023 Attainment of Associate''s Degree or Higher (25 - 64 year olds)]],RawData[2023 Attainment of Associate''s Degree or Higher (25 - 64 year olds)],1),"")</f>
        <v>49</v>
      </c>
      <c r="G7">
        <f>IF(COUNTBLANK(RawData[[#This Row],[SCNC Under 65 Counts Per 1,000 Undergrad Enrollment]])=0,_xlfn.RANK.AVG(RawData[[#This Row],[SCNC Under 65 Counts Per 1,000 Undergrad Enrollment]],RawData[SCNC Under 65 Counts Per 1,000 Undergrad Enrollment],0),"")</f>
        <v>13</v>
      </c>
      <c r="H7" s="31"/>
      <c r="I7">
        <f t="shared" si="0"/>
        <v>27.166666666666668</v>
      </c>
      <c r="J7">
        <f t="shared" si="1"/>
        <v>19</v>
      </c>
      <c r="K7" s="31"/>
      <c r="L7">
        <f t="shared" si="5"/>
        <v>23.083333333333336</v>
      </c>
      <c r="M7">
        <f t="shared" si="2"/>
        <v>26</v>
      </c>
      <c r="N7" s="31"/>
      <c r="O7">
        <f>IF(A7='State Detail'!BM$7,1,0)</f>
        <v>0</v>
      </c>
      <c r="P7" s="24" t="e">
        <f t="shared" si="3"/>
        <v>#N/A</v>
      </c>
      <c r="Q7" s="24" t="e">
        <f t="shared" si="4"/>
        <v>#N/A</v>
      </c>
      <c r="R7" s="31"/>
      <c r="S7">
        <f>IF(COUNTBLANK(RawData[[#This Row],[Bachelor''s Degree Premium (Over HS)]])=0,_xlfn.RANK.AVG(RawData[[#This Row],[Bachelor''s Degree Premium (Over HS)]],RawData[Bachelor''s Degree Premium (Over HS)]),"")</f>
        <v>24</v>
      </c>
      <c r="T7">
        <f>IF(COUNTBLANK(RawData[[#This Row],[2023 Attainment of Bachelor''s Degree or higher]])=0,_xlfn.RANK.AVG(RawData[[#This Row],[2023 Attainment of Bachelor''s Degree or higher]],RawData[2023 Attainment of Bachelor''s Degree or higher],1),"")</f>
        <v>48</v>
      </c>
      <c r="U7">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1</v>
      </c>
    </row>
    <row r="8" spans="1:21" x14ac:dyDescent="0.35">
      <c r="A8" s="29" t="s">
        <v>71</v>
      </c>
      <c r="B8" s="30" t="s">
        <v>72</v>
      </c>
      <c r="C8">
        <f>IF(COUNTBLANK(RawData[[#This Row],[Associate Degree Premium (Over HS)]])=0,_xlfn.RANK.AVG(RawData[[#This Row],[Associate Degree Premium (Over HS)]],RawData[Associate Degree Premium (Over HS)]),"")</f>
        <v>38.5</v>
      </c>
      <c r="D8">
        <f>IF(COUNTBLANK(RawData[[#This Row],[High-Opp Job Openings per 1,000 working age residents]])=0,_xlfn.RANK.AVG(RawData[[#This Row],[High-Opp Job Openings per 1,000 working age residents]],RawData[High-Opp Job Openings per 1,000 working age residents],0),"")</f>
        <v>35</v>
      </c>
      <c r="E8">
        <f>IF(COUNTBLANK(RawData[[#This Row],[2024 Annual Unemployment Rate]])=0,_xlfn.RANK.AVG(RawData[[#This Row],[2024 Annual Unemployment Rate]],RawData[2024 Annual Unemployment Rate],0),"")</f>
        <v>34.5</v>
      </c>
      <c r="F8">
        <f>IF(COUNTBLANK(RawData[[#This Row],[2023 Attainment of Associate''s Degree or Higher (25 - 64 year olds)]])=0,_xlfn.RANK.AVG(RawData[[#This Row],[2023 Attainment of Associate''s Degree or Higher (25 - 64 year olds)]],RawData[2023 Attainment of Associate''s Degree or Higher (25 - 64 year olds)],1),"")</f>
        <v>42.5</v>
      </c>
      <c r="G8">
        <f>IF(COUNTBLANK(RawData[[#This Row],[SCNC Under 65 Counts Per 1,000 Undergrad Enrollment]])=0,_xlfn.RANK.AVG(RawData[[#This Row],[SCNC Under 65 Counts Per 1,000 Undergrad Enrollment]],RawData[SCNC Under 65 Counts Per 1,000 Undergrad Enrollment],0),"")</f>
        <v>14</v>
      </c>
      <c r="H8" s="31"/>
      <c r="I8">
        <f t="shared" si="0"/>
        <v>14</v>
      </c>
      <c r="J8">
        <f t="shared" si="1"/>
        <v>21.75</v>
      </c>
      <c r="K8" s="31"/>
      <c r="L8">
        <f t="shared" si="5"/>
        <v>17.875</v>
      </c>
      <c r="M8">
        <f t="shared" si="2"/>
        <v>41</v>
      </c>
      <c r="N8" s="31"/>
      <c r="O8">
        <f>IF(A8='State Detail'!BM$7,1,0)</f>
        <v>0</v>
      </c>
      <c r="P8" s="24" t="e">
        <f t="shared" si="3"/>
        <v>#N/A</v>
      </c>
      <c r="Q8" s="24" t="e">
        <f t="shared" si="4"/>
        <v>#N/A</v>
      </c>
      <c r="R8" s="31"/>
      <c r="S8">
        <f>IF(COUNTBLANK(RawData[[#This Row],[Bachelor''s Degree Premium (Over HS)]])=0,_xlfn.RANK.AVG(RawData[[#This Row],[Bachelor''s Degree Premium (Over HS)]],RawData[Bachelor''s Degree Premium (Over HS)]),"")</f>
        <v>12</v>
      </c>
      <c r="T8">
        <f>IF(COUNTBLANK(RawData[[#This Row],[2023 Attainment of Bachelor''s Degree or higher]])=0,_xlfn.RANK.AVG(RawData[[#This Row],[2023 Attainment of Bachelor''s Degree or higher]],RawData[2023 Attainment of Bachelor''s Degree or higher],1),"")</f>
        <v>46</v>
      </c>
      <c r="U8">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37</v>
      </c>
    </row>
    <row r="9" spans="1:21" x14ac:dyDescent="0.35">
      <c r="A9" s="29" t="s">
        <v>73</v>
      </c>
      <c r="B9" s="30" t="s">
        <v>74</v>
      </c>
      <c r="C9">
        <f>IF(COUNTBLANK(RawData[[#This Row],[Associate Degree Premium (Over HS)]])=0,_xlfn.RANK.AVG(RawData[[#This Row],[Associate Degree Premium (Over HS)]],RawData[Associate Degree Premium (Over HS)]),"")</f>
        <v>3.5</v>
      </c>
      <c r="D9">
        <f>IF(COUNTBLANK(RawData[[#This Row],[High-Opp Job Openings per 1,000 working age residents]])=0,_xlfn.RANK.AVG(RawData[[#This Row],[High-Opp Job Openings per 1,000 working age residents]],RawData[High-Opp Job Openings per 1,000 working age residents],0),"")</f>
        <v>44</v>
      </c>
      <c r="E9">
        <f>IF(COUNTBLANK(RawData[[#This Row],[2024 Annual Unemployment Rate]])=0,_xlfn.RANK.AVG(RawData[[#This Row],[2024 Annual Unemployment Rate]],RawData[2024 Annual Unemployment Rate],0),"")</f>
        <v>22</v>
      </c>
      <c r="F9">
        <f>IF(COUNTBLANK(RawData[[#This Row],[2023 Attainment of Associate''s Degree or Higher (25 - 64 year olds)]])=0,_xlfn.RANK.AVG(RawData[[#This Row],[2023 Attainment of Associate''s Degree or Higher (25 - 64 year olds)]],RawData[2023 Attainment of Associate''s Degree or Higher (25 - 64 year olds)],1),"")</f>
        <v>22</v>
      </c>
      <c r="G9">
        <f>IF(COUNTBLANK(RawData[[#This Row],[SCNC Under 65 Counts Per 1,000 Undergrad Enrollment]])=0,_xlfn.RANK.AVG(RawData[[#This Row],[SCNC Under 65 Counts Per 1,000 Undergrad Enrollment]],RawData[SCNC Under 65 Counts Per 1,000 Undergrad Enrollment],0),"")</f>
        <v>50</v>
      </c>
      <c r="H9" s="31"/>
      <c r="I9">
        <f t="shared" si="0"/>
        <v>26.833333333333332</v>
      </c>
      <c r="J9">
        <f t="shared" si="1"/>
        <v>14</v>
      </c>
      <c r="K9" s="31"/>
      <c r="L9">
        <f t="shared" si="5"/>
        <v>20.416666666666664</v>
      </c>
      <c r="M9">
        <f t="shared" si="2"/>
        <v>35</v>
      </c>
      <c r="N9" s="31"/>
      <c r="O9">
        <f>IF(A9='State Detail'!BM$7,1,0)</f>
        <v>0</v>
      </c>
      <c r="P9" s="24" t="e">
        <f t="shared" si="3"/>
        <v>#N/A</v>
      </c>
      <c r="Q9" s="24" t="e">
        <f t="shared" si="4"/>
        <v>#N/A</v>
      </c>
      <c r="R9" s="31"/>
      <c r="S9">
        <f>IF(COUNTBLANK(RawData[[#This Row],[Bachelor''s Degree Premium (Over HS)]])=0,_xlfn.RANK.AVG(RawData[[#This Row],[Bachelor''s Degree Premium (Over HS)]],RawData[Bachelor''s Degree Premium (Over HS)]),"")</f>
        <v>16.5</v>
      </c>
      <c r="T9">
        <f>IF(COUNTBLANK(RawData[[#This Row],[2023 Attainment of Bachelor''s Degree or higher]])=0,_xlfn.RANK.AVG(RawData[[#This Row],[2023 Attainment of Bachelor''s Degree or higher]],RawData[2023 Attainment of Bachelor''s Degree or higher],1),"")</f>
        <v>28.5</v>
      </c>
      <c r="U9">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12</v>
      </c>
    </row>
    <row r="10" spans="1:21" x14ac:dyDescent="0.35">
      <c r="A10" s="29" t="s">
        <v>75</v>
      </c>
      <c r="B10" s="30" t="s">
        <v>76</v>
      </c>
      <c r="C10">
        <f>IF(COUNTBLANK(RawData[[#This Row],[Associate Degree Premium (Over HS)]])=0,_xlfn.RANK.AVG(RawData[[#This Row],[Associate Degree Premium (Over HS)]],RawData[Associate Degree Premium (Over HS)]),"")</f>
        <v>33</v>
      </c>
      <c r="D10">
        <f>IF(COUNTBLANK(RawData[[#This Row],[High-Opp Job Openings per 1,000 working age residents]])=0,_xlfn.RANK.AVG(RawData[[#This Row],[High-Opp Job Openings per 1,000 working age residents]],RawData[High-Opp Job Openings per 1,000 working age residents],0),"")</f>
        <v>2</v>
      </c>
      <c r="E10">
        <f>IF(COUNTBLANK(RawData[[#This Row],[2024 Annual Unemployment Rate]])=0,_xlfn.RANK.AVG(RawData[[#This Row],[2024 Annual Unemployment Rate]],RawData[2024 Annual Unemployment Rate],0),"")</f>
        <v>30.5</v>
      </c>
      <c r="F10">
        <f>IF(COUNTBLANK(RawData[[#This Row],[2023 Attainment of Associate''s Degree or Higher (25 - 64 year olds)]])=0,_xlfn.RANK.AVG(RawData[[#This Row],[2023 Attainment of Associate''s Degree or Higher (25 - 64 year olds)]],RawData[2023 Attainment of Associate''s Degree or Higher (25 - 64 year olds)],1),"")</f>
        <v>23</v>
      </c>
      <c r="G10">
        <f>IF(COUNTBLANK(RawData[[#This Row],[SCNC Under 65 Counts Per 1,000 Undergrad Enrollment]])=0,_xlfn.RANK.AVG(RawData[[#This Row],[SCNC Under 65 Counts Per 1,000 Undergrad Enrollment]],RawData[SCNC Under 65 Counts Per 1,000 Undergrad Enrollment],0),"")</f>
        <v>42</v>
      </c>
      <c r="H10" s="31"/>
      <c r="I10">
        <f t="shared" si="0"/>
        <v>28.166666666666668</v>
      </c>
      <c r="J10">
        <f t="shared" si="1"/>
        <v>17.5</v>
      </c>
      <c r="K10" s="31"/>
      <c r="L10">
        <f t="shared" si="5"/>
        <v>22.833333333333336</v>
      </c>
      <c r="M10">
        <f t="shared" si="2"/>
        <v>28</v>
      </c>
      <c r="N10" s="31"/>
      <c r="O10">
        <f>IF(A10='State Detail'!BM$7,1,0)</f>
        <v>0</v>
      </c>
      <c r="P10" s="24" t="e">
        <f t="shared" si="3"/>
        <v>#N/A</v>
      </c>
      <c r="Q10" s="24" t="e">
        <f t="shared" si="4"/>
        <v>#N/A</v>
      </c>
      <c r="R10" s="31"/>
      <c r="S10">
        <f>IF(COUNTBLANK(RawData[[#This Row],[Bachelor''s Degree Premium (Over HS)]])=0,_xlfn.RANK.AVG(RawData[[#This Row],[Bachelor''s Degree Premium (Over HS)]],RawData[Bachelor''s Degree Premium (Over HS)]),"")</f>
        <v>34</v>
      </c>
      <c r="T10">
        <f>IF(COUNTBLANK(RawData[[#This Row],[2023 Attainment of Bachelor''s Degree or higher]])=0,_xlfn.RANK.AVG(RawData[[#This Row],[2023 Attainment of Bachelor''s Degree or higher]],RawData[2023 Attainment of Bachelor''s Degree or higher],1),"")</f>
        <v>22</v>
      </c>
      <c r="U10">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14</v>
      </c>
    </row>
    <row r="11" spans="1:21" x14ac:dyDescent="0.35">
      <c r="A11" s="29" t="s">
        <v>77</v>
      </c>
      <c r="B11" s="30" t="s">
        <v>78</v>
      </c>
      <c r="C11">
        <f>IF(COUNTBLANK(RawData[[#This Row],[Associate Degree Premium (Over HS)]])=0,_xlfn.RANK.AVG(RawData[[#This Row],[Associate Degree Premium (Over HS)]],RawData[Associate Degree Premium (Over HS)]),"")</f>
        <v>31.5</v>
      </c>
      <c r="D11">
        <f>IF(COUNTBLANK(RawData[[#This Row],[High-Opp Job Openings per 1,000 working age residents]])=0,_xlfn.RANK.AVG(RawData[[#This Row],[High-Opp Job Openings per 1,000 working age residents]],RawData[High-Opp Job Openings per 1,000 working age residents],0),"")</f>
        <v>46</v>
      </c>
      <c r="E11">
        <f>IF(COUNTBLANK(RawData[[#This Row],[2024 Annual Unemployment Rate]])=0,_xlfn.RANK.AVG(RawData[[#This Row],[2024 Annual Unemployment Rate]],RawData[2024 Annual Unemployment Rate],0),"")</f>
        <v>28.5</v>
      </c>
      <c r="F11">
        <f>IF(COUNTBLANK(RawData[[#This Row],[2023 Attainment of Associate''s Degree or Higher (25 - 64 year olds)]])=0,_xlfn.RANK.AVG(RawData[[#This Row],[2023 Attainment of Associate''s Degree or Higher (25 - 64 year olds)]],RawData[2023 Attainment of Associate''s Degree or Higher (25 - 64 year olds)],1),"")</f>
        <v>21</v>
      </c>
      <c r="G11">
        <f>IF(COUNTBLANK(RawData[[#This Row],[SCNC Under 65 Counts Per 1,000 Undergrad Enrollment]])=0,_xlfn.RANK.AVG(RawData[[#This Row],[SCNC Under 65 Counts Per 1,000 Undergrad Enrollment]],RawData[SCNC Under 65 Counts Per 1,000 Undergrad Enrollment],0),"")</f>
        <v>43</v>
      </c>
      <c r="H11" s="31"/>
      <c r="I11">
        <f t="shared" si="0"/>
        <v>14.666666666666664</v>
      </c>
      <c r="J11">
        <f t="shared" si="1"/>
        <v>18</v>
      </c>
      <c r="K11" s="31"/>
      <c r="L11">
        <f t="shared" si="5"/>
        <v>16.333333333333332</v>
      </c>
      <c r="M11">
        <f t="shared" si="2"/>
        <v>45</v>
      </c>
      <c r="N11" s="31"/>
      <c r="O11">
        <f>IF(A11='State Detail'!BM$7,1,0)</f>
        <v>0</v>
      </c>
      <c r="P11" s="24" t="e">
        <f t="shared" si="3"/>
        <v>#N/A</v>
      </c>
      <c r="Q11" s="24" t="e">
        <f t="shared" si="4"/>
        <v>#N/A</v>
      </c>
      <c r="R11" s="31"/>
      <c r="S11">
        <f>IF(COUNTBLANK(RawData[[#This Row],[Bachelor''s Degree Premium (Over HS)]])=0,_xlfn.RANK.AVG(RawData[[#This Row],[Bachelor''s Degree Premium (Over HS)]],RawData[Bachelor''s Degree Premium (Over HS)]),"")</f>
        <v>13</v>
      </c>
      <c r="T11">
        <f>IF(COUNTBLANK(RawData[[#This Row],[2023 Attainment of Bachelor''s Degree or higher]])=0,_xlfn.RANK.AVG(RawData[[#This Row],[2023 Attainment of Bachelor''s Degree or higher]],RawData[2023 Attainment of Bachelor''s Degree or higher],1),"")</f>
        <v>28.5</v>
      </c>
      <c r="U11">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30</v>
      </c>
    </row>
    <row r="12" spans="1:21" x14ac:dyDescent="0.35">
      <c r="A12" s="29" t="s">
        <v>81</v>
      </c>
      <c r="B12" s="30" t="s">
        <v>82</v>
      </c>
      <c r="C12">
        <f>IF(COUNTBLANK(RawData[[#This Row],[Associate Degree Premium (Over HS)]])=0,_xlfn.RANK.AVG(RawData[[#This Row],[Associate Degree Premium (Over HS)]],RawData[Associate Degree Premium (Over HS)]),"")</f>
        <v>44</v>
      </c>
      <c r="D12">
        <f>IF(COUNTBLANK(RawData[[#This Row],[High-Opp Job Openings per 1,000 working age residents]])=0,_xlfn.RANK.AVG(RawData[[#This Row],[High-Opp Job Openings per 1,000 working age residents]],RawData[High-Opp Job Openings per 1,000 working age residents],0),"")</f>
        <v>50</v>
      </c>
      <c r="E12">
        <f>IF(COUNTBLANK(RawData[[#This Row],[2024 Annual Unemployment Rate]])=0,_xlfn.RANK.AVG(RawData[[#This Row],[2024 Annual Unemployment Rate]],RawData[2024 Annual Unemployment Rate],0),"")</f>
        <v>41.5</v>
      </c>
      <c r="F12">
        <f>IF(COUNTBLANK(RawData[[#This Row],[2023 Attainment of Associate''s Degree or Higher (25 - 64 year olds)]])=0,_xlfn.RANK.AVG(RawData[[#This Row],[2023 Attainment of Associate''s Degree or Higher (25 - 64 year olds)]],RawData[2023 Attainment of Associate''s Degree or Higher (25 - 64 year olds)],1),"")</f>
        <v>36</v>
      </c>
      <c r="G12">
        <f>IF(COUNTBLANK(RawData[[#This Row],[SCNC Under 65 Counts Per 1,000 Undergrad Enrollment]])=0,_xlfn.RANK.AVG(RawData[[#This Row],[SCNC Under 65 Counts Per 1,000 Undergrad Enrollment]],RawData[SCNC Under 65 Counts Per 1,000 Undergrad Enrollment],0),"")</f>
        <v>31</v>
      </c>
      <c r="H12" s="31"/>
      <c r="I12">
        <f t="shared" si="0"/>
        <v>4.8333333333333357</v>
      </c>
      <c r="J12">
        <f t="shared" si="1"/>
        <v>16.5</v>
      </c>
      <c r="K12" s="31"/>
      <c r="L12">
        <f t="shared" si="5"/>
        <v>10.666666666666668</v>
      </c>
      <c r="M12">
        <f t="shared" si="2"/>
        <v>48</v>
      </c>
      <c r="N12" s="31"/>
      <c r="O12">
        <f>IF(A12='State Detail'!BM$7,1,0)</f>
        <v>0</v>
      </c>
      <c r="P12" s="24" t="e">
        <f t="shared" si="3"/>
        <v>#N/A</v>
      </c>
      <c r="Q12" s="24" t="e">
        <f t="shared" si="4"/>
        <v>#N/A</v>
      </c>
      <c r="R12" s="31"/>
      <c r="S12">
        <f>IF(COUNTBLANK(RawData[[#This Row],[Bachelor''s Degree Premium (Over HS)]])=0,_xlfn.RANK.AVG(RawData[[#This Row],[Bachelor''s Degree Premium (Over HS)]],RawData[Bachelor''s Degree Premium (Over HS)]),"")</f>
        <v>40.5</v>
      </c>
      <c r="T12">
        <f>IF(COUNTBLANK(RawData[[#This Row],[2023 Attainment of Bachelor''s Degree or higher]])=0,_xlfn.RANK.AVG(RawData[[#This Row],[2023 Attainment of Bachelor''s Degree or higher]],RawData[2023 Attainment of Bachelor''s Degree or higher],1),"")</f>
        <v>30</v>
      </c>
      <c r="U12">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50</v>
      </c>
    </row>
    <row r="13" spans="1:21" x14ac:dyDescent="0.35">
      <c r="A13" s="29" t="s">
        <v>83</v>
      </c>
      <c r="B13" s="30" t="s">
        <v>84</v>
      </c>
      <c r="C13">
        <f>IF(COUNTBLANK(RawData[[#This Row],[Associate Degree Premium (Over HS)]])=0,_xlfn.RANK.AVG(RawData[[#This Row],[Associate Degree Premium (Over HS)]],RawData[Associate Degree Premium (Over HS)]),"")</f>
        <v>50</v>
      </c>
      <c r="D13">
        <f>IF(COUNTBLANK(RawData[[#This Row],[High-Opp Job Openings per 1,000 working age residents]])=0,_xlfn.RANK.AVG(RawData[[#This Row],[High-Opp Job Openings per 1,000 working age residents]],RawData[High-Opp Job Openings per 1,000 working age residents],0),"")</f>
        <v>13</v>
      </c>
      <c r="E13">
        <f>IF(COUNTBLANK(RawData[[#This Row],[2024 Annual Unemployment Rate]])=0,_xlfn.RANK.AVG(RawData[[#This Row],[2024 Annual Unemployment Rate]],RawData[2024 Annual Unemployment Rate],0),"")</f>
        <v>22</v>
      </c>
      <c r="F13">
        <f>IF(COUNTBLANK(RawData[[#This Row],[2023 Attainment of Associate''s Degree or Higher (25 - 64 year olds)]])=0,_xlfn.RANK.AVG(RawData[[#This Row],[2023 Attainment of Associate''s Degree or Higher (25 - 64 year olds)]],RawData[2023 Attainment of Associate''s Degree or Higher (25 - 64 year olds)],1),"")</f>
        <v>13</v>
      </c>
      <c r="G13">
        <f>IF(COUNTBLANK(RawData[[#This Row],[SCNC Under 65 Counts Per 1,000 Undergrad Enrollment]])=0,_xlfn.RANK.AVG(RawData[[#This Row],[SCNC Under 65 Counts Per 1,000 Undergrad Enrollment]],RawData[SCNC Under 65 Counts Per 1,000 Undergrad Enrollment],0),"")</f>
        <v>49</v>
      </c>
      <c r="H13" s="31"/>
      <c r="I13">
        <f t="shared" si="0"/>
        <v>21.666666666666668</v>
      </c>
      <c r="J13">
        <f t="shared" si="1"/>
        <v>19</v>
      </c>
      <c r="K13" s="31"/>
      <c r="L13">
        <f t="shared" si="5"/>
        <v>20.333333333333336</v>
      </c>
      <c r="M13">
        <f t="shared" si="2"/>
        <v>36</v>
      </c>
      <c r="N13" s="31"/>
      <c r="O13">
        <f>IF(A13='State Detail'!BM$7,1,0)</f>
        <v>0</v>
      </c>
      <c r="P13" s="24" t="e">
        <f t="shared" si="3"/>
        <v>#N/A</v>
      </c>
      <c r="Q13" s="24" t="e">
        <f t="shared" si="4"/>
        <v>#N/A</v>
      </c>
      <c r="R13" s="31"/>
      <c r="S13">
        <f>IF(COUNTBLANK(RawData[[#This Row],[Bachelor''s Degree Premium (Over HS)]])=0,_xlfn.RANK.AVG(RawData[[#This Row],[Bachelor''s Degree Premium (Over HS)]],RawData[Bachelor''s Degree Premium (Over HS)]),"")</f>
        <v>46</v>
      </c>
      <c r="T13">
        <f>IF(COUNTBLANK(RawData[[#This Row],[2023 Attainment of Bachelor''s Degree or higher]])=0,_xlfn.RANK.AVG(RawData[[#This Row],[2023 Attainment of Bachelor''s Degree or higher]],RawData[2023 Attainment of Bachelor''s Degree or higher],1),"")</f>
        <v>13</v>
      </c>
      <c r="U13">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20</v>
      </c>
    </row>
    <row r="14" spans="1:21" x14ac:dyDescent="0.35">
      <c r="A14" s="29" t="s">
        <v>85</v>
      </c>
      <c r="B14" s="30" t="s">
        <v>86</v>
      </c>
      <c r="C14">
        <f>IF(COUNTBLANK(RawData[[#This Row],[Associate Degree Premium (Over HS)]])=0,_xlfn.RANK.AVG(RawData[[#This Row],[Associate Degree Premium (Over HS)]],RawData[Associate Degree Premium (Over HS)]),"")</f>
        <v>23.5</v>
      </c>
      <c r="D14">
        <f>IF(COUNTBLANK(RawData[[#This Row],[High-Opp Job Openings per 1,000 working age residents]])=0,_xlfn.RANK.AVG(RawData[[#This Row],[High-Opp Job Openings per 1,000 working age residents]],RawData[High-Opp Job Openings per 1,000 working age residents],0),"")</f>
        <v>37</v>
      </c>
      <c r="E14">
        <f>IF(COUNTBLANK(RawData[[#This Row],[2024 Annual Unemployment Rate]])=0,_xlfn.RANK.AVG(RawData[[#This Row],[2024 Annual Unemployment Rate]],RawData[2024 Annual Unemployment Rate],0),"")</f>
        <v>4</v>
      </c>
      <c r="F14">
        <f>IF(COUNTBLANK(RawData[[#This Row],[2023 Attainment of Associate''s Degree or Higher (25 - 64 year olds)]])=0,_xlfn.RANK.AVG(RawData[[#This Row],[2023 Attainment of Associate''s Degree or Higher (25 - 64 year olds)]],RawData[2023 Attainment of Associate''s Degree or Higher (25 - 64 year olds)],1),"")</f>
        <v>37</v>
      </c>
      <c r="G14">
        <f>IF(COUNTBLANK(RawData[[#This Row],[SCNC Under 65 Counts Per 1,000 Undergrad Enrollment]])=0,_xlfn.RANK.AVG(RawData[[#This Row],[SCNC Under 65 Counts Per 1,000 Undergrad Enrollment]],RawData[SCNC Under 65 Counts Per 1,000 Undergrad Enrollment],0),"")</f>
        <v>6</v>
      </c>
      <c r="H14" s="31"/>
      <c r="I14">
        <f t="shared" si="0"/>
        <v>28.5</v>
      </c>
      <c r="J14">
        <f t="shared" si="1"/>
        <v>28.5</v>
      </c>
      <c r="K14" s="31"/>
      <c r="L14">
        <f t="shared" si="5"/>
        <v>28.5</v>
      </c>
      <c r="M14">
        <f t="shared" si="2"/>
        <v>15</v>
      </c>
      <c r="N14" s="31"/>
      <c r="O14">
        <f>IF(A14='State Detail'!BM$7,1,0)</f>
        <v>0</v>
      </c>
      <c r="P14" s="24" t="e">
        <f t="shared" si="3"/>
        <v>#N/A</v>
      </c>
      <c r="Q14" s="24" t="e">
        <f t="shared" si="4"/>
        <v>#N/A</v>
      </c>
      <c r="R14" s="31"/>
      <c r="S14">
        <f>IF(COUNTBLANK(RawData[[#This Row],[Bachelor''s Degree Premium (Over HS)]])=0,_xlfn.RANK.AVG(RawData[[#This Row],[Bachelor''s Degree Premium (Over HS)]],RawData[Bachelor''s Degree Premium (Over HS)]),"")</f>
        <v>5</v>
      </c>
      <c r="T14">
        <f>IF(COUNTBLANK(RawData[[#This Row],[2023 Attainment of Bachelor''s Degree or higher]])=0,_xlfn.RANK.AVG(RawData[[#This Row],[2023 Attainment of Bachelor''s Degree or higher]],RawData[2023 Attainment of Bachelor''s Degree or higher],1),"")</f>
        <v>39</v>
      </c>
      <c r="U14">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13</v>
      </c>
    </row>
    <row r="15" spans="1:21" x14ac:dyDescent="0.35">
      <c r="A15" s="29" t="s">
        <v>87</v>
      </c>
      <c r="B15" s="30" t="s">
        <v>88</v>
      </c>
      <c r="C15">
        <f>IF(COUNTBLANK(RawData[[#This Row],[Associate Degree Premium (Over HS)]])=0,_xlfn.RANK.AVG(RawData[[#This Row],[Associate Degree Premium (Over HS)]],RawData[Associate Degree Premium (Over HS)]),"")</f>
        <v>36</v>
      </c>
      <c r="D15">
        <f>IF(COUNTBLANK(RawData[[#This Row],[High-Opp Job Openings per 1,000 working age residents]])=0,_xlfn.RANK.AVG(RawData[[#This Row],[High-Opp Job Openings per 1,000 working age residents]],RawData[High-Opp Job Openings per 1,000 working age residents],0),"")</f>
        <v>7</v>
      </c>
      <c r="E15">
        <f>IF(COUNTBLANK(RawData[[#This Row],[2024 Annual Unemployment Rate]])=0,_xlfn.RANK.AVG(RawData[[#This Row],[2024 Annual Unemployment Rate]],RawData[2024 Annual Unemployment Rate],0),"")</f>
        <v>14.5</v>
      </c>
      <c r="F15">
        <f>IF(COUNTBLANK(RawData[[#This Row],[2023 Attainment of Associate''s Degree or Higher (25 - 64 year olds)]])=0,_xlfn.RANK.AVG(RawData[[#This Row],[2023 Attainment of Associate''s Degree or Higher (25 - 64 year olds)]],RawData[2023 Attainment of Associate''s Degree or Higher (25 - 64 year olds)],1),"")</f>
        <v>12</v>
      </c>
      <c r="G15">
        <f>IF(COUNTBLANK(RawData[[#This Row],[SCNC Under 65 Counts Per 1,000 Undergrad Enrollment]])=0,_xlfn.RANK.AVG(RawData[[#This Row],[SCNC Under 65 Counts Per 1,000 Undergrad Enrollment]],RawData[SCNC Under 65 Counts Per 1,000 Undergrad Enrollment],0),"")</f>
        <v>19</v>
      </c>
      <c r="H15" s="31"/>
      <c r="I15">
        <f t="shared" si="0"/>
        <v>30.833333333333332</v>
      </c>
      <c r="J15">
        <f t="shared" si="1"/>
        <v>34.5</v>
      </c>
      <c r="K15" s="31"/>
      <c r="L15">
        <f t="shared" si="5"/>
        <v>32.666666666666664</v>
      </c>
      <c r="M15">
        <f t="shared" si="2"/>
        <v>8</v>
      </c>
      <c r="N15" s="31"/>
      <c r="O15">
        <f>IF(A15='State Detail'!BM$7,1,0)</f>
        <v>0</v>
      </c>
      <c r="P15" s="24" t="e">
        <f t="shared" si="3"/>
        <v>#N/A</v>
      </c>
      <c r="Q15" s="24" t="e">
        <f t="shared" si="4"/>
        <v>#N/A</v>
      </c>
      <c r="R15" s="31"/>
      <c r="S15">
        <f>IF(COUNTBLANK(RawData[[#This Row],[Bachelor''s Degree Premium (Over HS)]])=0,_xlfn.RANK.AVG(RawData[[#This Row],[Bachelor''s Degree Premium (Over HS)]],RawData[Bachelor''s Degree Premium (Over HS)]),"")</f>
        <v>38</v>
      </c>
      <c r="T15">
        <f>IF(COUNTBLANK(RawData[[#This Row],[2023 Attainment of Bachelor''s Degree or higher]])=0,_xlfn.RANK.AVG(RawData[[#This Row],[2023 Attainment of Bachelor''s Degree or higher]],RawData[2023 Attainment of Bachelor''s Degree or higher],1),"")</f>
        <v>11</v>
      </c>
      <c r="U15">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39</v>
      </c>
    </row>
    <row r="16" spans="1:21" x14ac:dyDescent="0.35">
      <c r="A16" s="29" t="s">
        <v>90</v>
      </c>
      <c r="B16" s="30" t="s">
        <v>91</v>
      </c>
      <c r="C16">
        <f>IF(COUNTBLANK(RawData[[#This Row],[Associate Degree Premium (Over HS)]])=0,_xlfn.RANK.AVG(RawData[[#This Row],[Associate Degree Premium (Over HS)]],RawData[Associate Degree Premium (Over HS)]),"")</f>
        <v>41</v>
      </c>
      <c r="D16">
        <f>IF(COUNTBLANK(RawData[[#This Row],[High-Opp Job Openings per 1,000 working age residents]])=0,_xlfn.RANK.AVG(RawData[[#This Row],[High-Opp Job Openings per 1,000 working age residents]],RawData[High-Opp Job Openings per 1,000 working age residents],0),"")</f>
        <v>23</v>
      </c>
      <c r="E16">
        <f>IF(COUNTBLANK(RawData[[#This Row],[2024 Annual Unemployment Rate]])=0,_xlfn.RANK.AVG(RawData[[#This Row],[2024 Annual Unemployment Rate]],RawData[2024 Annual Unemployment Rate],0),"")</f>
        <v>41.5</v>
      </c>
      <c r="F16">
        <f>IF(COUNTBLANK(RawData[[#This Row],[2023 Attainment of Associate''s Degree or Higher (25 - 64 year olds)]])=0,_xlfn.RANK.AVG(RawData[[#This Row],[2023 Attainment of Associate''s Degree or Higher (25 - 64 year olds)]],RawData[2023 Attainment of Associate''s Degree or Higher (25 - 64 year olds)],1),"")</f>
        <v>28</v>
      </c>
      <c r="G16">
        <f>IF(COUNTBLANK(RawData[[#This Row],[SCNC Under 65 Counts Per 1,000 Undergrad Enrollment]])=0,_xlfn.RANK.AVG(RawData[[#This Row],[SCNC Under 65 Counts Per 1,000 Undergrad Enrollment]],RawData[SCNC Under 65 Counts Per 1,000 Undergrad Enrollment],0),"")</f>
        <v>24</v>
      </c>
      <c r="H16" s="31"/>
      <c r="I16">
        <f t="shared" si="0"/>
        <v>14.833333333333336</v>
      </c>
      <c r="J16">
        <f t="shared" si="1"/>
        <v>24</v>
      </c>
      <c r="K16" s="31"/>
      <c r="L16">
        <f t="shared" si="5"/>
        <v>19.416666666666668</v>
      </c>
      <c r="M16">
        <f t="shared" si="2"/>
        <v>38</v>
      </c>
      <c r="N16" s="31"/>
      <c r="O16">
        <f>IF(A16='State Detail'!BM$7,1,0)</f>
        <v>0</v>
      </c>
      <c r="P16" s="24" t="e">
        <f t="shared" si="3"/>
        <v>#N/A</v>
      </c>
      <c r="Q16" s="24" t="e">
        <f t="shared" si="4"/>
        <v>#N/A</v>
      </c>
      <c r="R16" s="31"/>
      <c r="S16">
        <f>IF(COUNTBLANK(RawData[[#This Row],[Bachelor''s Degree Premium (Over HS)]])=0,_xlfn.RANK.AVG(RawData[[#This Row],[Bachelor''s Degree Premium (Over HS)]],RawData[Bachelor''s Degree Premium (Over HS)]),"")</f>
        <v>40.5</v>
      </c>
      <c r="T16">
        <f>IF(COUNTBLANK(RawData[[#This Row],[2023 Attainment of Bachelor''s Degree or higher]])=0,_xlfn.RANK.AVG(RawData[[#This Row],[2023 Attainment of Bachelor''s Degree or higher]],RawData[2023 Attainment of Bachelor''s Degree or higher],1),"")</f>
        <v>18.5</v>
      </c>
      <c r="U16">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33</v>
      </c>
    </row>
    <row r="17" spans="1:21" x14ac:dyDescent="0.35">
      <c r="A17" s="29" t="s">
        <v>92</v>
      </c>
      <c r="B17" s="30" t="s">
        <v>93</v>
      </c>
      <c r="C17">
        <f>IF(COUNTBLANK(RawData[[#This Row],[Associate Degree Premium (Over HS)]])=0,_xlfn.RANK.AVG(RawData[[#This Row],[Associate Degree Premium (Over HS)]],RawData[Associate Degree Premium (Over HS)]),"")</f>
        <v>19</v>
      </c>
      <c r="D17">
        <f>IF(COUNTBLANK(RawData[[#This Row],[High-Opp Job Openings per 1,000 working age residents]])=0,_xlfn.RANK.AVG(RawData[[#This Row],[High-Opp Job Openings per 1,000 working age residents]],RawData[High-Opp Job Openings per 1,000 working age residents],0),"")</f>
        <v>40</v>
      </c>
      <c r="E17">
        <f>IF(COUNTBLANK(RawData[[#This Row],[2024 Annual Unemployment Rate]])=0,_xlfn.RANK.AVG(RawData[[#This Row],[2024 Annual Unemployment Rate]],RawData[2024 Annual Unemployment Rate],0),"")</f>
        <v>25.5</v>
      </c>
      <c r="F17">
        <f>IF(COUNTBLANK(RawData[[#This Row],[2023 Attainment of Associate''s Degree or Higher (25 - 64 year olds)]])=0,_xlfn.RANK.AVG(RawData[[#This Row],[2023 Attainment of Associate''s Degree or Higher (25 - 64 year olds)]],RawData[2023 Attainment of Associate''s Degree or Higher (25 - 64 year olds)],1),"")</f>
        <v>26</v>
      </c>
      <c r="G17">
        <f>IF(COUNTBLANK(RawData[[#This Row],[SCNC Under 65 Counts Per 1,000 Undergrad Enrollment]])=0,_xlfn.RANK.AVG(RawData[[#This Row],[SCNC Under 65 Counts Per 1,000 Undergrad Enrollment]],RawData[SCNC Under 65 Counts Per 1,000 Undergrad Enrollment],0),"")</f>
        <v>27</v>
      </c>
      <c r="H17" s="31"/>
      <c r="I17">
        <f t="shared" si="0"/>
        <v>21.833333333333332</v>
      </c>
      <c r="J17">
        <f t="shared" si="1"/>
        <v>23.5</v>
      </c>
      <c r="K17" s="31"/>
      <c r="L17">
        <f t="shared" si="5"/>
        <v>22.666666666666664</v>
      </c>
      <c r="M17">
        <f t="shared" si="2"/>
        <v>29</v>
      </c>
      <c r="N17" s="31"/>
      <c r="O17">
        <f>IF(A17='State Detail'!BM$7,1,0)</f>
        <v>0</v>
      </c>
      <c r="P17" s="24" t="e">
        <f t="shared" si="3"/>
        <v>#N/A</v>
      </c>
      <c r="Q17" s="24" t="e">
        <f t="shared" si="4"/>
        <v>#N/A</v>
      </c>
      <c r="R17" s="31"/>
      <c r="S17">
        <f>IF(COUNTBLANK(RawData[[#This Row],[Bachelor''s Degree Premium (Over HS)]])=0,_xlfn.RANK.AVG(RawData[[#This Row],[Bachelor''s Degree Premium (Over HS)]],RawData[Bachelor''s Degree Premium (Over HS)]),"")</f>
        <v>23</v>
      </c>
      <c r="T17">
        <f>IF(COUNTBLANK(RawData[[#This Row],[2023 Attainment of Bachelor''s Degree or higher]])=0,_xlfn.RANK.AVG(RawData[[#This Row],[2023 Attainment of Bachelor''s Degree or higher]],RawData[2023 Attainment of Bachelor''s Degree or higher],1),"")</f>
        <v>32</v>
      </c>
      <c r="U17">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28.5</v>
      </c>
    </row>
    <row r="18" spans="1:21" x14ac:dyDescent="0.35">
      <c r="A18" s="29" t="s">
        <v>94</v>
      </c>
      <c r="B18" s="30" t="s">
        <v>95</v>
      </c>
      <c r="C18">
        <f>IF(COUNTBLANK(RawData[[#This Row],[Associate Degree Premium (Over HS)]])=0,_xlfn.RANK.AVG(RawData[[#This Row],[Associate Degree Premium (Over HS)]],RawData[Associate Degree Premium (Over HS)]),"")</f>
        <v>21</v>
      </c>
      <c r="D18">
        <f>IF(COUNTBLANK(RawData[[#This Row],[High-Opp Job Openings per 1,000 working age residents]])=0,_xlfn.RANK.AVG(RawData[[#This Row],[High-Opp Job Openings per 1,000 working age residents]],RawData[High-Opp Job Openings per 1,000 working age residents],0),"")</f>
        <v>5</v>
      </c>
      <c r="E18">
        <f>IF(COUNTBLANK(RawData[[#This Row],[2024 Annual Unemployment Rate]])=0,_xlfn.RANK.AVG(RawData[[#This Row],[2024 Annual Unemployment Rate]],RawData[2024 Annual Unemployment Rate],0),"")</f>
        <v>3</v>
      </c>
      <c r="F18">
        <f>IF(COUNTBLANK(RawData[[#This Row],[2023 Attainment of Associate''s Degree or Higher (25 - 64 year olds)]])=0,_xlfn.RANK.AVG(RawData[[#This Row],[2023 Attainment of Associate''s Degree or Higher (25 - 64 year olds)]],RawData[2023 Attainment of Associate''s Degree or Higher (25 - 64 year olds)],1),"")</f>
        <v>7.5</v>
      </c>
      <c r="G18">
        <f>IF(COUNTBLANK(RawData[[#This Row],[SCNC Under 65 Counts Per 1,000 Undergrad Enrollment]])=0,_xlfn.RANK.AVG(RawData[[#This Row],[SCNC Under 65 Counts Per 1,000 Undergrad Enrollment]],RawData[SCNC Under 65 Counts Per 1,000 Undergrad Enrollment],0),"")</f>
        <v>8</v>
      </c>
      <c r="H18" s="31"/>
      <c r="I18">
        <f t="shared" si="0"/>
        <v>40.333333333333336</v>
      </c>
      <c r="J18">
        <f t="shared" si="1"/>
        <v>42.25</v>
      </c>
      <c r="K18" s="31"/>
      <c r="L18">
        <f t="shared" si="5"/>
        <v>41.291666666666671</v>
      </c>
      <c r="M18">
        <f t="shared" si="2"/>
        <v>2</v>
      </c>
      <c r="N18" s="31"/>
      <c r="O18">
        <f>IF(A18='State Detail'!BM$7,1,0)</f>
        <v>1</v>
      </c>
      <c r="P18" s="24">
        <f t="shared" si="3"/>
        <v>40.333333333333336</v>
      </c>
      <c r="Q18" s="24">
        <f t="shared" si="4"/>
        <v>42.25</v>
      </c>
      <c r="R18" s="31"/>
      <c r="S18">
        <f>IF(COUNTBLANK(RawData[[#This Row],[Bachelor''s Degree Premium (Over HS)]])=0,_xlfn.RANK.AVG(RawData[[#This Row],[Bachelor''s Degree Premium (Over HS)]],RawData[Bachelor''s Degree Premium (Over HS)]),"")</f>
        <v>21</v>
      </c>
      <c r="T18">
        <f>IF(COUNTBLANK(RawData[[#This Row],[2023 Attainment of Bachelor''s Degree or higher]])=0,_xlfn.RANK.AVG(RawData[[#This Row],[2023 Attainment of Bachelor''s Degree or higher]],RawData[2023 Attainment of Bachelor''s Degree or higher],1),"")</f>
        <v>7.5</v>
      </c>
      <c r="U18">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41</v>
      </c>
    </row>
    <row r="19" spans="1:21" x14ac:dyDescent="0.35">
      <c r="A19" s="29" t="s">
        <v>96</v>
      </c>
      <c r="B19" s="30" t="s">
        <v>97</v>
      </c>
      <c r="C19">
        <f>IF(COUNTBLANK(RawData[[#This Row],[Associate Degree Premium (Over HS)]])=0,_xlfn.RANK.AVG(RawData[[#This Row],[Associate Degree Premium (Over HS)]],RawData[Associate Degree Premium (Over HS)]),"")</f>
        <v>1</v>
      </c>
      <c r="D19">
        <f>IF(COUNTBLANK(RawData[[#This Row],[High-Opp Job Openings per 1,000 working age residents]])=0,_xlfn.RANK.AVG(RawData[[#This Row],[High-Opp Job Openings per 1,000 working age residents]],RawData[High-Opp Job Openings per 1,000 working age residents],0),"")</f>
        <v>12</v>
      </c>
      <c r="E19">
        <f>IF(COUNTBLANK(RawData[[#This Row],[2024 Annual Unemployment Rate]])=0,_xlfn.RANK.AVG(RawData[[#This Row],[2024 Annual Unemployment Rate]],RawData[2024 Annual Unemployment Rate],0),"")</f>
        <v>9</v>
      </c>
      <c r="F19">
        <f>IF(COUNTBLANK(RawData[[#This Row],[2023 Attainment of Associate''s Degree or Higher (25 - 64 year olds)]])=0,_xlfn.RANK.AVG(RawData[[#This Row],[2023 Attainment of Associate''s Degree or Higher (25 - 64 year olds)]],RawData[2023 Attainment of Associate''s Degree or Higher (25 - 64 year olds)],1),"")</f>
        <v>3</v>
      </c>
      <c r="G19">
        <f>IF(COUNTBLANK(RawData[[#This Row],[SCNC Under 65 Counts Per 1,000 Undergrad Enrollment]])=0,_xlfn.RANK.AVG(RawData[[#This Row],[SCNC Under 65 Counts Per 1,000 Undergrad Enrollment]],RawData[SCNC Under 65 Counts Per 1,000 Undergrad Enrollment],0),"")</f>
        <v>21</v>
      </c>
      <c r="H19" s="31"/>
      <c r="I19">
        <f t="shared" si="0"/>
        <v>42.666666666666664</v>
      </c>
      <c r="J19">
        <f t="shared" si="1"/>
        <v>38</v>
      </c>
      <c r="K19" s="31"/>
      <c r="L19">
        <f t="shared" si="5"/>
        <v>40.333333333333329</v>
      </c>
      <c r="M19">
        <f t="shared" si="2"/>
        <v>3</v>
      </c>
      <c r="N19" s="31"/>
      <c r="O19">
        <f>IF(A19='State Detail'!BM$7,1,0)</f>
        <v>0</v>
      </c>
      <c r="P19" s="24" t="e">
        <f t="shared" si="3"/>
        <v>#N/A</v>
      </c>
      <c r="Q19" s="24" t="e">
        <f t="shared" si="4"/>
        <v>#N/A</v>
      </c>
      <c r="R19" s="31"/>
      <c r="S19">
        <f>IF(COUNTBLANK(RawData[[#This Row],[Bachelor''s Degree Premium (Over HS)]])=0,_xlfn.RANK.AVG(RawData[[#This Row],[Bachelor''s Degree Premium (Over HS)]],RawData[Bachelor''s Degree Premium (Over HS)]),"")</f>
        <v>15</v>
      </c>
      <c r="T19">
        <f>IF(COUNTBLANK(RawData[[#This Row],[2023 Attainment of Bachelor''s Degree or higher]])=0,_xlfn.RANK.AVG(RawData[[#This Row],[2023 Attainment of Bachelor''s Degree or higher]],RawData[2023 Attainment of Bachelor''s Degree or higher],1),"")</f>
        <v>4.5</v>
      </c>
      <c r="U19">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44.5</v>
      </c>
    </row>
    <row r="20" spans="1:21" x14ac:dyDescent="0.35">
      <c r="A20" s="29" t="s">
        <v>98</v>
      </c>
      <c r="B20" s="30" t="s">
        <v>99</v>
      </c>
      <c r="C20">
        <f>IF(COUNTBLANK(RawData[[#This Row],[Associate Degree Premium (Over HS)]])=0,_xlfn.RANK.AVG(RawData[[#This Row],[Associate Degree Premium (Over HS)]],RawData[Associate Degree Premium (Over HS)]),"")</f>
        <v>8</v>
      </c>
      <c r="D20">
        <f>IF(COUNTBLANK(RawData[[#This Row],[High-Opp Job Openings per 1,000 working age residents]])=0,_xlfn.RANK.AVG(RawData[[#This Row],[High-Opp Job Openings per 1,000 working age residents]],RawData[High-Opp Job Openings per 1,000 working age residents],0),"")</f>
        <v>29</v>
      </c>
      <c r="E20">
        <f>IF(COUNTBLANK(RawData[[#This Row],[2024 Annual Unemployment Rate]])=0,_xlfn.RANK.AVG(RawData[[#This Row],[2024 Annual Unemployment Rate]],RawData[2024 Annual Unemployment Rate],0),"")</f>
        <v>37.5</v>
      </c>
      <c r="F20">
        <f>IF(COUNTBLANK(RawData[[#This Row],[2023 Attainment of Associate''s Degree or Higher (25 - 64 year olds)]])=0,_xlfn.RANK.AVG(RawData[[#This Row],[2023 Attainment of Associate''s Degree or Higher (25 - 64 year olds)]],RawData[2023 Attainment of Associate''s Degree or Higher (25 - 64 year olds)],1),"")</f>
        <v>31</v>
      </c>
      <c r="G20">
        <f>IF(COUNTBLANK(RawData[[#This Row],[SCNC Under 65 Counts Per 1,000 Undergrad Enrollment]])=0,_xlfn.RANK.AVG(RawData[[#This Row],[SCNC Under 65 Counts Per 1,000 Undergrad Enrollment]],RawData[SCNC Under 65 Counts Per 1,000 Undergrad Enrollment],0),"")</f>
        <v>39</v>
      </c>
      <c r="H20" s="31"/>
      <c r="I20">
        <f t="shared" si="0"/>
        <v>25.166666666666668</v>
      </c>
      <c r="J20">
        <f t="shared" si="1"/>
        <v>15</v>
      </c>
      <c r="K20" s="31"/>
      <c r="L20">
        <f t="shared" si="5"/>
        <v>20.083333333333336</v>
      </c>
      <c r="M20">
        <f t="shared" si="2"/>
        <v>37</v>
      </c>
      <c r="N20" s="31"/>
      <c r="O20">
        <f>IF(A20='State Detail'!BM$7,1,0)</f>
        <v>0</v>
      </c>
      <c r="P20" s="24" t="e">
        <f t="shared" si="3"/>
        <v>#N/A</v>
      </c>
      <c r="Q20" s="24" t="e">
        <f t="shared" si="4"/>
        <v>#N/A</v>
      </c>
      <c r="R20" s="31"/>
      <c r="S20">
        <f>IF(COUNTBLANK(RawData[[#This Row],[Bachelor''s Degree Premium (Over HS)]])=0,_xlfn.RANK.AVG(RawData[[#This Row],[Bachelor''s Degree Premium (Over HS)]],RawData[Bachelor''s Degree Premium (Over HS)]),"")</f>
        <v>42</v>
      </c>
      <c r="T20">
        <f>IF(COUNTBLANK(RawData[[#This Row],[2023 Attainment of Bachelor''s Degree or higher]])=0,_xlfn.RANK.AVG(RawData[[#This Row],[2023 Attainment of Bachelor''s Degree or higher]],RawData[2023 Attainment of Bachelor''s Degree or higher],1),"")</f>
        <v>26.5</v>
      </c>
      <c r="U20">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42</v>
      </c>
    </row>
    <row r="21" spans="1:21" x14ac:dyDescent="0.35">
      <c r="A21" s="29" t="s">
        <v>100</v>
      </c>
      <c r="B21" s="30" t="s">
        <v>101</v>
      </c>
      <c r="C21">
        <f>IF(COUNTBLANK(RawData[[#This Row],[Associate Degree Premium (Over HS)]])=0,_xlfn.RANK.AVG(RawData[[#This Row],[Associate Degree Premium (Over HS)]],RawData[Associate Degree Premium (Over HS)]),"")</f>
        <v>34.5</v>
      </c>
      <c r="D21">
        <f>IF(COUNTBLANK(RawData[[#This Row],[High-Opp Job Openings per 1,000 working age residents]])=0,_xlfn.RANK.AVG(RawData[[#This Row],[High-Opp Job Openings per 1,000 working age residents]],RawData[High-Opp Job Openings per 1,000 working age residents],0),"")</f>
        <v>34</v>
      </c>
      <c r="E21">
        <f>IF(COUNTBLANK(RawData[[#This Row],[2024 Annual Unemployment Rate]])=0,_xlfn.RANK.AVG(RawData[[#This Row],[2024 Annual Unemployment Rate]],RawData[2024 Annual Unemployment Rate],0),"")</f>
        <v>41.5</v>
      </c>
      <c r="F21">
        <f>IF(COUNTBLANK(RawData[[#This Row],[2023 Attainment of Associate''s Degree or Higher (25 - 64 year olds)]])=0,_xlfn.RANK.AVG(RawData[[#This Row],[2023 Attainment of Associate''s Degree or Higher (25 - 64 year olds)]],RawData[2023 Attainment of Associate''s Degree or Higher (25 - 64 year olds)],1),"")</f>
        <v>42.5</v>
      </c>
      <c r="G21">
        <f>IF(COUNTBLANK(RawData[[#This Row],[SCNC Under 65 Counts Per 1,000 Undergrad Enrollment]])=0,_xlfn.RANK.AVG(RawData[[#This Row],[SCNC Under 65 Counts Per 1,000 Undergrad Enrollment]],RawData[SCNC Under 65 Counts Per 1,000 Undergrad Enrollment],0),"")</f>
        <v>38</v>
      </c>
      <c r="H21" s="31"/>
      <c r="I21">
        <f t="shared" si="0"/>
        <v>13.333333333333336</v>
      </c>
      <c r="J21">
        <f t="shared" si="1"/>
        <v>9.75</v>
      </c>
      <c r="K21" s="31"/>
      <c r="L21">
        <f t="shared" si="5"/>
        <v>11.541666666666668</v>
      </c>
      <c r="M21">
        <f t="shared" si="2"/>
        <v>47</v>
      </c>
      <c r="N21" s="31"/>
      <c r="O21">
        <f>IF(A21='State Detail'!BM$7,1,0)</f>
        <v>0</v>
      </c>
      <c r="P21" s="24" t="e">
        <f t="shared" si="3"/>
        <v>#N/A</v>
      </c>
      <c r="Q21" s="24" t="e">
        <f t="shared" si="4"/>
        <v>#N/A</v>
      </c>
      <c r="R21" s="31"/>
      <c r="S21">
        <f>IF(COUNTBLANK(RawData[[#This Row],[Bachelor''s Degree Premium (Over HS)]])=0,_xlfn.RANK.AVG(RawData[[#This Row],[Bachelor''s Degree Premium (Over HS)]],RawData[Bachelor''s Degree Premium (Over HS)]),"")</f>
        <v>10</v>
      </c>
      <c r="T21">
        <f>IF(COUNTBLANK(RawData[[#This Row],[2023 Attainment of Bachelor''s Degree or higher]])=0,_xlfn.RANK.AVG(RawData[[#This Row],[2023 Attainment of Bachelor''s Degree or higher]],RawData[2023 Attainment of Bachelor''s Degree or higher],1),"")</f>
        <v>47</v>
      </c>
      <c r="U21">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4</v>
      </c>
    </row>
    <row r="22" spans="1:21" x14ac:dyDescent="0.35">
      <c r="A22" s="29" t="s">
        <v>104</v>
      </c>
      <c r="B22" s="30" t="s">
        <v>105</v>
      </c>
      <c r="C22">
        <f>IF(COUNTBLANK(RawData[[#This Row],[Associate Degree Premium (Over HS)]])=0,_xlfn.RANK.AVG(RawData[[#This Row],[Associate Degree Premium (Over HS)]],RawData[Associate Degree Premium (Over HS)]),"")</f>
        <v>40</v>
      </c>
      <c r="D22">
        <f>IF(COUNTBLANK(RawData[[#This Row],[High-Opp Job Openings per 1,000 working age residents]])=0,_xlfn.RANK.AVG(RawData[[#This Row],[High-Opp Job Openings per 1,000 working age residents]],RawData[High-Opp Job Openings per 1,000 working age residents],0),"")</f>
        <v>49</v>
      </c>
      <c r="E22">
        <f>IF(COUNTBLANK(RawData[[#This Row],[2024 Annual Unemployment Rate]])=0,_xlfn.RANK.AVG(RawData[[#This Row],[2024 Annual Unemployment Rate]],RawData[2024 Annual Unemployment Rate],0),"")</f>
        <v>20</v>
      </c>
      <c r="F22">
        <f>IF(COUNTBLANK(RawData[[#This Row],[2023 Attainment of Associate''s Degree or Higher (25 - 64 year olds)]])=0,_xlfn.RANK.AVG(RawData[[#This Row],[2023 Attainment of Associate''s Degree or Higher (25 - 64 year olds)]],RawData[2023 Attainment of Associate''s Degree or Higher (25 - 64 year olds)],1),"")</f>
        <v>50</v>
      </c>
      <c r="G22">
        <f>IF(COUNTBLANK(RawData[[#This Row],[SCNC Under 65 Counts Per 1,000 Undergrad Enrollment]])=0,_xlfn.RANK.AVG(RawData[[#This Row],[SCNC Under 65 Counts Per 1,000 Undergrad Enrollment]],RawData[SCNC Under 65 Counts Per 1,000 Undergrad Enrollment],0),"")</f>
        <v>40</v>
      </c>
      <c r="H22" s="31"/>
      <c r="I22">
        <f t="shared" si="0"/>
        <v>13.666666666666664</v>
      </c>
      <c r="J22">
        <f t="shared" si="1"/>
        <v>5</v>
      </c>
      <c r="K22" s="31"/>
      <c r="L22">
        <f t="shared" si="5"/>
        <v>9.3333333333333321</v>
      </c>
      <c r="M22">
        <f t="shared" si="2"/>
        <v>49</v>
      </c>
      <c r="N22" s="31"/>
      <c r="O22">
        <f>IF(A22='State Detail'!BM$7,1,0)</f>
        <v>0</v>
      </c>
      <c r="P22" s="24" t="e">
        <f t="shared" si="3"/>
        <v>#N/A</v>
      </c>
      <c r="Q22" s="24" t="e">
        <f t="shared" si="4"/>
        <v>#N/A</v>
      </c>
      <c r="R22" s="31"/>
      <c r="S22">
        <f>IF(COUNTBLANK(RawData[[#This Row],[Bachelor''s Degree Premium (Over HS)]])=0,_xlfn.RANK.AVG(RawData[[#This Row],[Bachelor''s Degree Premium (Over HS)]],RawData[Bachelor''s Degree Premium (Over HS)]),"")</f>
        <v>8</v>
      </c>
      <c r="T22">
        <f>IF(COUNTBLANK(RawData[[#This Row],[2023 Attainment of Bachelor''s Degree or higher]])=0,_xlfn.RANK.AVG(RawData[[#This Row],[2023 Attainment of Bachelor''s Degree or higher]],RawData[2023 Attainment of Bachelor''s Degree or higher],1),"")</f>
        <v>50</v>
      </c>
      <c r="U22">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47</v>
      </c>
    </row>
    <row r="23" spans="1:21" x14ac:dyDescent="0.35">
      <c r="A23" s="29" t="s">
        <v>107</v>
      </c>
      <c r="B23" s="30" t="s">
        <v>108</v>
      </c>
      <c r="C23">
        <f>IF(COUNTBLANK(RawData[[#This Row],[Associate Degree Premium (Over HS)]])=0,_xlfn.RANK.AVG(RawData[[#This Row],[Associate Degree Premium (Over HS)]],RawData[Associate Degree Premium (Over HS)]),"")</f>
        <v>11</v>
      </c>
      <c r="D23">
        <f>IF(COUNTBLANK(RawData[[#This Row],[High-Opp Job Openings per 1,000 working age residents]])=0,_xlfn.RANK.AVG(RawData[[#This Row],[High-Opp Job Openings per 1,000 working age residents]],RawData[High-Opp Job Openings per 1,000 working age residents],0),"")</f>
        <v>6</v>
      </c>
      <c r="E23">
        <f>IF(COUNTBLANK(RawData[[#This Row],[2024 Annual Unemployment Rate]])=0,_xlfn.RANK.AVG(RawData[[#This Row],[2024 Annual Unemployment Rate]],RawData[2024 Annual Unemployment Rate],0),"")</f>
        <v>5</v>
      </c>
      <c r="F23">
        <f>IF(COUNTBLANK(RawData[[#This Row],[2023 Attainment of Associate''s Degree or Higher (25 - 64 year olds)]])=0,_xlfn.RANK.AVG(RawData[[#This Row],[2023 Attainment of Associate''s Degree or Higher (25 - 64 year olds)]],RawData[2023 Attainment of Associate''s Degree or Higher (25 - 64 year olds)],1),"")</f>
        <v>20</v>
      </c>
      <c r="G23">
        <f>IF(COUNTBLANK(RawData[[#This Row],[SCNC Under 65 Counts Per 1,000 Undergrad Enrollment]])=0,_xlfn.RANK.AVG(RawData[[#This Row],[SCNC Under 65 Counts Per 1,000 Undergrad Enrollment]],RawData[SCNC Under 65 Counts Per 1,000 Undergrad Enrollment],0),"")</f>
        <v>12</v>
      </c>
      <c r="H23" s="31"/>
      <c r="I23">
        <f t="shared" si="0"/>
        <v>42.666666666666664</v>
      </c>
      <c r="J23">
        <f t="shared" si="1"/>
        <v>34</v>
      </c>
      <c r="K23" s="31"/>
      <c r="L23">
        <f t="shared" si="5"/>
        <v>38.333333333333329</v>
      </c>
      <c r="M23">
        <f t="shared" si="2"/>
        <v>4</v>
      </c>
      <c r="N23" s="31"/>
      <c r="O23">
        <f>IF(A23='State Detail'!BM$7,1,0)</f>
        <v>0</v>
      </c>
      <c r="P23" s="24" t="e">
        <f t="shared" si="3"/>
        <v>#N/A</v>
      </c>
      <c r="Q23" s="24" t="e">
        <f t="shared" si="4"/>
        <v>#N/A</v>
      </c>
      <c r="R23" s="31"/>
      <c r="S23">
        <f>IF(COUNTBLANK(RawData[[#This Row],[Bachelor''s Degree Premium (Over HS)]])=0,_xlfn.RANK.AVG(RawData[[#This Row],[Bachelor''s Degree Premium (Over HS)]],RawData[Bachelor''s Degree Premium (Over HS)]),"")</f>
        <v>9</v>
      </c>
      <c r="T23">
        <f>IF(COUNTBLANK(RawData[[#This Row],[2023 Attainment of Bachelor''s Degree or higher]])=0,_xlfn.RANK.AVG(RawData[[#This Row],[2023 Attainment of Bachelor''s Degree or higher]],RawData[2023 Attainment of Bachelor''s Degree or higher],1),"")</f>
        <v>20</v>
      </c>
      <c r="U23">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23</v>
      </c>
    </row>
    <row r="24" spans="1:21" x14ac:dyDescent="0.35">
      <c r="A24" s="29" t="s">
        <v>110</v>
      </c>
      <c r="B24" s="30" t="s">
        <v>111</v>
      </c>
      <c r="C24">
        <f>IF(COUNTBLANK(RawData[[#This Row],[Associate Degree Premium (Over HS)]])=0,_xlfn.RANK.AVG(RawData[[#This Row],[Associate Degree Premium (Over HS)]],RawData[Associate Degree Premium (Over HS)]),"")</f>
        <v>29</v>
      </c>
      <c r="D24">
        <f>IF(COUNTBLANK(RawData[[#This Row],[High-Opp Job Openings per 1,000 working age residents]])=0,_xlfn.RANK.AVG(RawData[[#This Row],[High-Opp Job Openings per 1,000 working age residents]],RawData[High-Opp Job Openings per 1,000 working age residents],0),"")</f>
        <v>20</v>
      </c>
      <c r="E24">
        <f>IF(COUNTBLANK(RawData[[#This Row],[2024 Annual Unemployment Rate]])=0,_xlfn.RANK.AVG(RawData[[#This Row],[2024 Annual Unemployment Rate]],RawData[2024 Annual Unemployment Rate],0),"")</f>
        <v>41.5</v>
      </c>
      <c r="F24">
        <f>IF(COUNTBLANK(RawData[[#This Row],[2023 Attainment of Associate''s Degree or Higher (25 - 64 year olds)]])=0,_xlfn.RANK.AVG(RawData[[#This Row],[2023 Attainment of Associate''s Degree or Higher (25 - 64 year olds)]],RawData[2023 Attainment of Associate''s Degree or Higher (25 - 64 year olds)],1),"")</f>
        <v>48</v>
      </c>
      <c r="G24">
        <f>IF(COUNTBLANK(RawData[[#This Row],[SCNC Under 65 Counts Per 1,000 Undergrad Enrollment]])=0,_xlfn.RANK.AVG(RawData[[#This Row],[SCNC Under 65 Counts Per 1,000 Undergrad Enrollment]],RawData[SCNC Under 65 Counts Per 1,000 Undergrad Enrollment],0),"")</f>
        <v>22</v>
      </c>
      <c r="H24" s="31"/>
      <c r="I24">
        <f t="shared" si="0"/>
        <v>19.833333333333332</v>
      </c>
      <c r="J24">
        <f t="shared" si="1"/>
        <v>15</v>
      </c>
      <c r="K24" s="31"/>
      <c r="L24">
        <f t="shared" si="5"/>
        <v>17.416666666666664</v>
      </c>
      <c r="M24">
        <f t="shared" si="2"/>
        <v>43</v>
      </c>
      <c r="N24" s="31"/>
      <c r="O24">
        <f>IF(A24='State Detail'!BM$7,1,0)</f>
        <v>0</v>
      </c>
      <c r="P24" s="24" t="e">
        <f t="shared" si="3"/>
        <v>#N/A</v>
      </c>
      <c r="Q24" s="24" t="e">
        <f t="shared" si="4"/>
        <v>#N/A</v>
      </c>
      <c r="R24" s="31"/>
      <c r="S24">
        <f>IF(COUNTBLANK(RawData[[#This Row],[Bachelor''s Degree Premium (Over HS)]])=0,_xlfn.RANK.AVG(RawData[[#This Row],[Bachelor''s Degree Premium (Over HS)]],RawData[Bachelor''s Degree Premium (Over HS)]),"")</f>
        <v>29</v>
      </c>
      <c r="T24">
        <f>IF(COUNTBLANK(RawData[[#This Row],[2023 Attainment of Bachelor''s Degree or higher]])=0,_xlfn.RANK.AVG(RawData[[#This Row],[2023 Attainment of Bachelor''s Degree or higher]],RawData[2023 Attainment of Bachelor''s Degree or higher],1),"")</f>
        <v>41</v>
      </c>
      <c r="U24">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7</v>
      </c>
    </row>
    <row r="25" spans="1:21" x14ac:dyDescent="0.35">
      <c r="A25" s="29" t="s">
        <v>112</v>
      </c>
      <c r="B25" s="30" t="s">
        <v>113</v>
      </c>
      <c r="C25">
        <f>IF(COUNTBLANK(RawData[[#This Row],[Associate Degree Premium (Over HS)]])=0,_xlfn.RANK.AVG(RawData[[#This Row],[Associate Degree Premium (Over HS)]],RawData[Associate Degree Premium (Over HS)]),"")</f>
        <v>7</v>
      </c>
      <c r="D25">
        <f>IF(COUNTBLANK(RawData[[#This Row],[High-Opp Job Openings per 1,000 working age residents]])=0,_xlfn.RANK.AVG(RawData[[#This Row],[High-Opp Job Openings per 1,000 working age residents]],RawData[High-Opp Job Openings per 1,000 working age residents],0),"")</f>
        <v>39</v>
      </c>
      <c r="E25">
        <f>IF(COUNTBLANK(RawData[[#This Row],[2024 Annual Unemployment Rate]])=0,_xlfn.RANK.AVG(RawData[[#This Row],[2024 Annual Unemployment Rate]],RawData[2024 Annual Unemployment Rate],0),"")</f>
        <v>34.5</v>
      </c>
      <c r="F25">
        <f>IF(COUNTBLANK(RawData[[#This Row],[2023 Attainment of Associate''s Degree or Higher (25 - 64 year olds)]])=0,_xlfn.RANK.AVG(RawData[[#This Row],[2023 Attainment of Associate''s Degree or Higher (25 - 64 year olds)]],RawData[2023 Attainment of Associate''s Degree or Higher (25 - 64 year olds)],1),"")</f>
        <v>5</v>
      </c>
      <c r="G25">
        <f>IF(COUNTBLANK(RawData[[#This Row],[SCNC Under 65 Counts Per 1,000 Undergrad Enrollment]])=0,_xlfn.RANK.AVG(RawData[[#This Row],[SCNC Under 65 Counts Per 1,000 Undergrad Enrollment]],RawData[SCNC Under 65 Counts Per 1,000 Undergrad Enrollment],0),"")</f>
        <v>26</v>
      </c>
      <c r="H25" s="31"/>
      <c r="I25">
        <f t="shared" si="0"/>
        <v>23.166666666666668</v>
      </c>
      <c r="J25">
        <f t="shared" si="1"/>
        <v>34.5</v>
      </c>
      <c r="K25" s="31"/>
      <c r="L25">
        <f t="shared" si="5"/>
        <v>28.833333333333336</v>
      </c>
      <c r="M25">
        <f t="shared" si="2"/>
        <v>13</v>
      </c>
      <c r="N25" s="31"/>
      <c r="O25">
        <f>IF(A25='State Detail'!BM$7,1,0)</f>
        <v>0</v>
      </c>
      <c r="P25" s="24" t="e">
        <f t="shared" si="3"/>
        <v>#N/A</v>
      </c>
      <c r="Q25" s="24" t="e">
        <f t="shared" si="4"/>
        <v>#N/A</v>
      </c>
      <c r="R25" s="31"/>
      <c r="S25">
        <f>IF(COUNTBLANK(RawData[[#This Row],[Bachelor''s Degree Premium (Over HS)]])=0,_xlfn.RANK.AVG(RawData[[#This Row],[Bachelor''s Degree Premium (Over HS)]],RawData[Bachelor''s Degree Premium (Over HS)]),"")</f>
        <v>28</v>
      </c>
      <c r="T25">
        <f>IF(COUNTBLANK(RawData[[#This Row],[2023 Attainment of Bachelor''s Degree or higher]])=0,_xlfn.RANK.AVG(RawData[[#This Row],[2023 Attainment of Bachelor''s Degree or higher]],RawData[2023 Attainment of Bachelor''s Degree or higher],1),"")</f>
        <v>1.5</v>
      </c>
      <c r="U25">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44.5</v>
      </c>
    </row>
    <row r="26" spans="1:21" x14ac:dyDescent="0.35">
      <c r="A26" s="29" t="s">
        <v>114</v>
      </c>
      <c r="B26" s="30" t="s">
        <v>115</v>
      </c>
      <c r="C26">
        <f>IF(COUNTBLANK(RawData[[#This Row],[Associate Degree Premium (Over HS)]])=0,_xlfn.RANK.AVG(RawData[[#This Row],[Associate Degree Premium (Over HS)]],RawData[Associate Degree Premium (Over HS)]),"")</f>
        <v>28</v>
      </c>
      <c r="D26">
        <f>IF(COUNTBLANK(RawData[[#This Row],[High-Opp Job Openings per 1,000 working age residents]])=0,_xlfn.RANK.AVG(RawData[[#This Row],[High-Opp Job Openings per 1,000 working age residents]],RawData[High-Opp Job Openings per 1,000 working age residents],0),"")</f>
        <v>19</v>
      </c>
      <c r="E26">
        <f>IF(COUNTBLANK(RawData[[#This Row],[2024 Annual Unemployment Rate]])=0,_xlfn.RANK.AVG(RawData[[#This Row],[2024 Annual Unemployment Rate]],RawData[2024 Annual Unemployment Rate],0),"")</f>
        <v>22</v>
      </c>
      <c r="F26">
        <f>IF(COUNTBLANK(RawData[[#This Row],[2023 Attainment of Associate''s Degree or Higher (25 - 64 year olds)]])=0,_xlfn.RANK.AVG(RawData[[#This Row],[2023 Attainment of Associate''s Degree or Higher (25 - 64 year olds)]],RawData[2023 Attainment of Associate''s Degree or Higher (25 - 64 year olds)],1),"")</f>
        <v>17</v>
      </c>
      <c r="G26">
        <f>IF(COUNTBLANK(RawData[[#This Row],[SCNC Under 65 Counts Per 1,000 Undergrad Enrollment]])=0,_xlfn.RANK.AVG(RawData[[#This Row],[SCNC Under 65 Counts Per 1,000 Undergrad Enrollment]],RawData[SCNC Under 65 Counts Per 1,000 Undergrad Enrollment],0),"")</f>
        <v>9</v>
      </c>
      <c r="H26" s="31"/>
      <c r="I26">
        <f t="shared" si="0"/>
        <v>27</v>
      </c>
      <c r="J26">
        <f t="shared" si="1"/>
        <v>37</v>
      </c>
      <c r="K26" s="31"/>
      <c r="L26">
        <f t="shared" si="5"/>
        <v>32</v>
      </c>
      <c r="M26">
        <f t="shared" si="2"/>
        <v>10</v>
      </c>
      <c r="N26" s="31"/>
      <c r="O26">
        <f>IF(A26='State Detail'!BM$7,1,0)</f>
        <v>0</v>
      </c>
      <c r="P26" s="24" t="e">
        <f t="shared" si="3"/>
        <v>#N/A</v>
      </c>
      <c r="Q26" s="24" t="e">
        <f t="shared" si="4"/>
        <v>#N/A</v>
      </c>
      <c r="R26" s="31"/>
      <c r="S26">
        <f>IF(COUNTBLANK(RawData[[#This Row],[Bachelor''s Degree Premium (Over HS)]])=0,_xlfn.RANK.AVG(RawData[[#This Row],[Bachelor''s Degree Premium (Over HS)]],RawData[Bachelor''s Degree Premium (Over HS)]),"")</f>
        <v>26</v>
      </c>
      <c r="T26">
        <f>IF(COUNTBLANK(RawData[[#This Row],[2023 Attainment of Bachelor''s Degree or higher]])=0,_xlfn.RANK.AVG(RawData[[#This Row],[2023 Attainment of Bachelor''s Degree or higher]],RawData[2023 Attainment of Bachelor''s Degree or higher],1),"")</f>
        <v>21</v>
      </c>
      <c r="U26">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11</v>
      </c>
    </row>
    <row r="27" spans="1:21" x14ac:dyDescent="0.35">
      <c r="A27" s="29" t="s">
        <v>116</v>
      </c>
      <c r="B27" s="30" t="s">
        <v>117</v>
      </c>
      <c r="C27">
        <f>IF(COUNTBLANK(RawData[[#This Row],[Associate Degree Premium (Over HS)]])=0,_xlfn.RANK.AVG(RawData[[#This Row],[Associate Degree Premium (Over HS)]],RawData[Associate Degree Premium (Over HS)]),"")</f>
        <v>47</v>
      </c>
      <c r="D27">
        <f>IF(COUNTBLANK(RawData[[#This Row],[High-Opp Job Openings per 1,000 working age residents]])=0,_xlfn.RANK.AVG(RawData[[#This Row],[High-Opp Job Openings per 1,000 working age residents]],RawData[High-Opp Job Openings per 1,000 working age residents],0),"")</f>
        <v>10</v>
      </c>
      <c r="E27">
        <f>IF(COUNTBLANK(RawData[[#This Row],[2024 Annual Unemployment Rate]])=0,_xlfn.RANK.AVG(RawData[[#This Row],[2024 Annual Unemployment Rate]],RawData[2024 Annual Unemployment Rate],0),"")</f>
        <v>41.5</v>
      </c>
      <c r="F27">
        <f>IF(COUNTBLANK(RawData[[#This Row],[2023 Attainment of Associate''s Degree or Higher (25 - 64 year olds)]])=0,_xlfn.RANK.AVG(RawData[[#This Row],[2023 Attainment of Associate''s Degree or Higher (25 - 64 year olds)]],RawData[2023 Attainment of Associate''s Degree or Higher (25 - 64 year olds)],1),"")</f>
        <v>25</v>
      </c>
      <c r="G27">
        <f>IF(COUNTBLANK(RawData[[#This Row],[SCNC Under 65 Counts Per 1,000 Undergrad Enrollment]])=0,_xlfn.RANK.AVG(RawData[[#This Row],[SCNC Under 65 Counts Per 1,000 Undergrad Enrollment]],RawData[SCNC Under 65 Counts Per 1,000 Undergrad Enrollment],0),"")</f>
        <v>17</v>
      </c>
      <c r="H27" s="31"/>
      <c r="I27">
        <f t="shared" si="0"/>
        <v>17.166666666666664</v>
      </c>
      <c r="J27">
        <f t="shared" si="1"/>
        <v>29</v>
      </c>
      <c r="K27" s="31"/>
      <c r="L27">
        <f t="shared" si="5"/>
        <v>23.083333333333332</v>
      </c>
      <c r="M27">
        <f t="shared" si="2"/>
        <v>27</v>
      </c>
      <c r="N27" s="31"/>
      <c r="O27">
        <f>IF(A27='State Detail'!BM$7,1,0)</f>
        <v>0</v>
      </c>
      <c r="P27" s="24" t="e">
        <f t="shared" si="3"/>
        <v>#N/A</v>
      </c>
      <c r="Q27" s="24" t="e">
        <f t="shared" si="4"/>
        <v>#N/A</v>
      </c>
      <c r="R27" s="31"/>
      <c r="S27">
        <f>IF(COUNTBLANK(RawData[[#This Row],[Bachelor''s Degree Premium (Over HS)]])=0,_xlfn.RANK.AVG(RawData[[#This Row],[Bachelor''s Degree Premium (Over HS)]],RawData[Bachelor''s Degree Premium (Over HS)]),"")</f>
        <v>44</v>
      </c>
      <c r="T27">
        <f>IF(COUNTBLANK(RawData[[#This Row],[2023 Attainment of Bachelor''s Degree or higher]])=0,_xlfn.RANK.AVG(RawData[[#This Row],[2023 Attainment of Bachelor''s Degree or higher]],RawData[2023 Attainment of Bachelor''s Degree or higher],1),"")</f>
        <v>26.5</v>
      </c>
      <c r="U27">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36</v>
      </c>
    </row>
    <row r="28" spans="1:21" x14ac:dyDescent="0.35">
      <c r="A28" s="29" t="s">
        <v>119</v>
      </c>
      <c r="B28" s="30" t="s">
        <v>120</v>
      </c>
      <c r="C28">
        <f>IF(COUNTBLANK(RawData[[#This Row],[Associate Degree Premium (Over HS)]])=0,_xlfn.RANK.AVG(RawData[[#This Row],[Associate Degree Premium (Over HS)]],RawData[Associate Degree Premium (Over HS)]),"")</f>
        <v>46</v>
      </c>
      <c r="D28">
        <f>IF(COUNTBLANK(RawData[[#This Row],[High-Opp Job Openings per 1,000 working age residents]])=0,_xlfn.RANK.AVG(RawData[[#This Row],[High-Opp Job Openings per 1,000 working age residents]],RawData[High-Opp Job Openings per 1,000 working age residents],0),"")</f>
        <v>3</v>
      </c>
      <c r="E28">
        <f>IF(COUNTBLANK(RawData[[#This Row],[2024 Annual Unemployment Rate]])=0,_xlfn.RANK.AVG(RawData[[#This Row],[2024 Annual Unemployment Rate]],RawData[2024 Annual Unemployment Rate],0),"")</f>
        <v>46</v>
      </c>
      <c r="F28">
        <f>IF(COUNTBLANK(RawData[[#This Row],[2023 Attainment of Associate''s Degree or Higher (25 - 64 year olds)]])=0,_xlfn.RANK.AVG(RawData[[#This Row],[2023 Attainment of Associate''s Degree or Higher (25 - 64 year olds)]],RawData[2023 Attainment of Associate''s Degree or Higher (25 - 64 year olds)],1),"")</f>
        <v>38</v>
      </c>
      <c r="G28">
        <f>IF(COUNTBLANK(RawData[[#This Row],[SCNC Under 65 Counts Per 1,000 Undergrad Enrollment]])=0,_xlfn.RANK.AVG(RawData[[#This Row],[SCNC Under 65 Counts Per 1,000 Undergrad Enrollment]],RawData[SCNC Under 65 Counts Per 1,000 Undergrad Enrollment],0),"")</f>
        <v>2</v>
      </c>
      <c r="H28" s="31"/>
      <c r="I28">
        <f t="shared" si="0"/>
        <v>18.333333333333332</v>
      </c>
      <c r="J28">
        <f t="shared" si="1"/>
        <v>30</v>
      </c>
      <c r="K28" s="31"/>
      <c r="L28">
        <f t="shared" si="5"/>
        <v>24.166666666666664</v>
      </c>
      <c r="M28">
        <f t="shared" si="2"/>
        <v>24</v>
      </c>
      <c r="N28" s="31"/>
      <c r="O28">
        <f>IF(A28='State Detail'!BM$7,1,0)</f>
        <v>0</v>
      </c>
      <c r="P28" s="24" t="e">
        <f t="shared" si="3"/>
        <v>#N/A</v>
      </c>
      <c r="Q28" s="24" t="e">
        <f t="shared" si="4"/>
        <v>#N/A</v>
      </c>
      <c r="R28" s="31"/>
      <c r="S28">
        <f>IF(COUNTBLANK(RawData[[#This Row],[Bachelor''s Degree Premium (Over HS)]])=0,_xlfn.RANK.AVG(RawData[[#This Row],[Bachelor''s Degree Premium (Over HS)]],RawData[Bachelor''s Degree Premium (Over HS)]),"")</f>
        <v>45</v>
      </c>
      <c r="T28">
        <f>IF(COUNTBLANK(RawData[[#This Row],[2023 Attainment of Bachelor''s Degree or higher]])=0,_xlfn.RANK.AVG(RawData[[#This Row],[2023 Attainment of Bachelor''s Degree or higher]],RawData[2023 Attainment of Bachelor''s Degree or higher],1),"")</f>
        <v>33</v>
      </c>
      <c r="U28">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6</v>
      </c>
    </row>
    <row r="29" spans="1:21" x14ac:dyDescent="0.35">
      <c r="A29" s="29" t="s">
        <v>121</v>
      </c>
      <c r="B29" s="30" t="s">
        <v>122</v>
      </c>
      <c r="C29">
        <f>IF(COUNTBLANK(RawData[[#This Row],[Associate Degree Premium (Over HS)]])=0,_xlfn.RANK.AVG(RawData[[#This Row],[Associate Degree Premium (Over HS)]],RawData[Associate Degree Premium (Over HS)]),"")</f>
        <v>45</v>
      </c>
      <c r="D29">
        <f>IF(COUNTBLANK(RawData[[#This Row],[High-Opp Job Openings per 1,000 working age residents]])=0,_xlfn.RANK.AVG(RawData[[#This Row],[High-Opp Job Openings per 1,000 working age residents]],RawData[High-Opp Job Openings per 1,000 working age residents],0),"")</f>
        <v>24</v>
      </c>
      <c r="E29">
        <f>IF(COUNTBLANK(RawData[[#This Row],[2024 Annual Unemployment Rate]])=0,_xlfn.RANK.AVG(RawData[[#This Row],[2024 Annual Unemployment Rate]],RawData[2024 Annual Unemployment Rate],0),"")</f>
        <v>1</v>
      </c>
      <c r="F29">
        <f>IF(COUNTBLANK(RawData[[#This Row],[2023 Attainment of Associate''s Degree or Higher (25 - 64 year olds)]])=0,_xlfn.RANK.AVG(RawData[[#This Row],[2023 Attainment of Associate''s Degree or Higher (25 - 64 year olds)]],RawData[2023 Attainment of Associate''s Degree or Higher (25 - 64 year olds)],1),"")</f>
        <v>4</v>
      </c>
      <c r="G29">
        <f>IF(COUNTBLANK(RawData[[#This Row],[SCNC Under 65 Counts Per 1,000 Undergrad Enrollment]])=0,_xlfn.RANK.AVG(RawData[[#This Row],[SCNC Under 65 Counts Per 1,000 Undergrad Enrollment]],RawData[SCNC Under 65 Counts Per 1,000 Undergrad Enrollment],0),"")</f>
        <v>15</v>
      </c>
      <c r="H29" s="31"/>
      <c r="I29">
        <f t="shared" si="0"/>
        <v>26.666666666666668</v>
      </c>
      <c r="J29">
        <f t="shared" si="1"/>
        <v>40.5</v>
      </c>
      <c r="K29" s="31"/>
      <c r="L29">
        <f t="shared" si="5"/>
        <v>33.583333333333336</v>
      </c>
      <c r="M29">
        <f t="shared" si="2"/>
        <v>7</v>
      </c>
      <c r="N29" s="31"/>
      <c r="O29">
        <f>IF(A29='State Detail'!BM$7,1,0)</f>
        <v>0</v>
      </c>
      <c r="P29" s="24" t="e">
        <f t="shared" si="3"/>
        <v>#N/A</v>
      </c>
      <c r="Q29" s="24" t="e">
        <f t="shared" si="4"/>
        <v>#N/A</v>
      </c>
      <c r="R29" s="31"/>
      <c r="S29">
        <f>IF(COUNTBLANK(RawData[[#This Row],[Bachelor''s Degree Premium (Over HS)]])=0,_xlfn.RANK.AVG(RawData[[#This Row],[Bachelor''s Degree Premium (Over HS)]],RawData[Bachelor''s Degree Premium (Over HS)]),"")</f>
        <v>36</v>
      </c>
      <c r="T29">
        <f>IF(COUNTBLANK(RawData[[#This Row],[2023 Attainment of Bachelor''s Degree or higher]])=0,_xlfn.RANK.AVG(RawData[[#This Row],[2023 Attainment of Bachelor''s Degree or higher]],RawData[2023 Attainment of Bachelor''s Degree or higher],1),"")</f>
        <v>4.5</v>
      </c>
      <c r="U29">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32</v>
      </c>
    </row>
    <row r="30" spans="1:21" x14ac:dyDescent="0.35">
      <c r="A30" s="29" t="s">
        <v>123</v>
      </c>
      <c r="B30" s="30" t="s">
        <v>124</v>
      </c>
      <c r="C30">
        <f>IF(COUNTBLANK(RawData[[#This Row],[Associate Degree Premium (Over HS)]])=0,_xlfn.RANK.AVG(RawData[[#This Row],[Associate Degree Premium (Over HS)]],RawData[Associate Degree Premium (Over HS)]),"")</f>
        <v>20</v>
      </c>
      <c r="D30">
        <f>IF(COUNTBLANK(RawData[[#This Row],[High-Opp Job Openings per 1,000 working age residents]])=0,_xlfn.RANK.AVG(RawData[[#This Row],[High-Opp Job Openings per 1,000 working age residents]],RawData[High-Opp Job Openings per 1,000 working age residents],0),"")</f>
        <v>26</v>
      </c>
      <c r="E30">
        <f>IF(COUNTBLANK(RawData[[#This Row],[2024 Annual Unemployment Rate]])=0,_xlfn.RANK.AVG(RawData[[#This Row],[2024 Annual Unemployment Rate]],RawData[2024 Annual Unemployment Rate],0),"")</f>
        <v>47</v>
      </c>
      <c r="F30">
        <f>IF(COUNTBLANK(RawData[[#This Row],[2023 Attainment of Associate''s Degree or Higher (25 - 64 year olds)]])=0,_xlfn.RANK.AVG(RawData[[#This Row],[2023 Attainment of Associate''s Degree or Higher (25 - 64 year olds)]],RawData[2023 Attainment of Associate''s Degree or Higher (25 - 64 year olds)],1),"")</f>
        <v>45</v>
      </c>
      <c r="G30">
        <f>IF(COUNTBLANK(RawData[[#This Row],[SCNC Under 65 Counts Per 1,000 Undergrad Enrollment]])=0,_xlfn.RANK.AVG(RawData[[#This Row],[SCNC Under 65 Counts Per 1,000 Undergrad Enrollment]],RawData[SCNC Under 65 Counts Per 1,000 Undergrad Enrollment],0),"")</f>
        <v>5</v>
      </c>
      <c r="H30" s="31"/>
      <c r="I30">
        <f t="shared" si="0"/>
        <v>19</v>
      </c>
      <c r="J30">
        <f t="shared" si="1"/>
        <v>25</v>
      </c>
      <c r="K30" s="31"/>
      <c r="L30">
        <f t="shared" si="5"/>
        <v>22</v>
      </c>
      <c r="M30">
        <f t="shared" si="2"/>
        <v>32</v>
      </c>
      <c r="N30" s="31"/>
      <c r="O30">
        <f>IF(A30='State Detail'!BM$7,1,0)</f>
        <v>0</v>
      </c>
      <c r="P30" s="24" t="e">
        <f t="shared" si="3"/>
        <v>#N/A</v>
      </c>
      <c r="Q30" s="24" t="e">
        <f t="shared" si="4"/>
        <v>#N/A</v>
      </c>
      <c r="R30" s="31"/>
      <c r="S30">
        <f>IF(COUNTBLANK(RawData[[#This Row],[Bachelor''s Degree Premium (Over HS)]])=0,_xlfn.RANK.AVG(RawData[[#This Row],[Bachelor''s Degree Premium (Over HS)]],RawData[Bachelor''s Degree Premium (Over HS)]),"")</f>
        <v>37</v>
      </c>
      <c r="T30">
        <f>IF(COUNTBLANK(RawData[[#This Row],[2023 Attainment of Bachelor''s Degree or higher]])=0,_xlfn.RANK.AVG(RawData[[#This Row],[2023 Attainment of Bachelor''s Degree or higher]],RawData[2023 Attainment of Bachelor''s Degree or higher],1),"")</f>
        <v>42</v>
      </c>
      <c r="U30">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19</v>
      </c>
    </row>
    <row r="31" spans="1:21" x14ac:dyDescent="0.35">
      <c r="A31" s="29" t="s">
        <v>125</v>
      </c>
      <c r="B31" s="30" t="s">
        <v>126</v>
      </c>
      <c r="C31">
        <f>IF(COUNTBLANK(RawData[[#This Row],[Associate Degree Premium (Over HS)]])=0,_xlfn.RANK.AVG(RawData[[#This Row],[Associate Degree Premium (Over HS)]],RawData[Associate Degree Premium (Over HS)]),"")</f>
        <v>12</v>
      </c>
      <c r="D31">
        <f>IF(COUNTBLANK(RawData[[#This Row],[High-Opp Job Openings per 1,000 working age residents]])=0,_xlfn.RANK.AVG(RawData[[#This Row],[High-Opp Job Openings per 1,000 working age residents]],RawData[High-Opp Job Openings per 1,000 working age residents],0),"")</f>
        <v>42</v>
      </c>
      <c r="E31">
        <f>IF(COUNTBLANK(RawData[[#This Row],[2024 Annual Unemployment Rate]])=0,_xlfn.RANK.AVG(RawData[[#This Row],[2024 Annual Unemployment Rate]],RawData[2024 Annual Unemployment Rate],0),"")</f>
        <v>7.5</v>
      </c>
      <c r="F31">
        <f>IF(COUNTBLANK(RawData[[#This Row],[2023 Attainment of Associate''s Degree or Higher (25 - 64 year olds)]])=0,_xlfn.RANK.AVG(RawData[[#This Row],[2023 Attainment of Associate''s Degree or Higher (25 - 64 year olds)]],RawData[2023 Attainment of Associate''s Degree or Higher (25 - 64 year olds)],1),"")</f>
        <v>47</v>
      </c>
      <c r="G31">
        <f>IF(COUNTBLANK(RawData[[#This Row],[SCNC Under 65 Counts Per 1,000 Undergrad Enrollment]])=0,_xlfn.RANK.AVG(RawData[[#This Row],[SCNC Under 65 Counts Per 1,000 Undergrad Enrollment]],RawData[SCNC Under 65 Counts Per 1,000 Undergrad Enrollment],0),"")</f>
        <v>28</v>
      </c>
      <c r="H31" s="31"/>
      <c r="I31">
        <f t="shared" si="0"/>
        <v>29.5</v>
      </c>
      <c r="J31">
        <f t="shared" si="1"/>
        <v>12.5</v>
      </c>
      <c r="K31" s="31"/>
      <c r="L31">
        <f t="shared" si="5"/>
        <v>21</v>
      </c>
      <c r="M31">
        <f t="shared" si="2"/>
        <v>34</v>
      </c>
      <c r="N31" s="31"/>
      <c r="O31">
        <f>IF(A31='State Detail'!BM$7,1,0)</f>
        <v>0</v>
      </c>
      <c r="P31" s="24" t="e">
        <f t="shared" si="3"/>
        <v>#N/A</v>
      </c>
      <c r="Q31" s="24" t="e">
        <f t="shared" si="4"/>
        <v>#N/A</v>
      </c>
      <c r="R31" s="31"/>
      <c r="S31">
        <f>IF(COUNTBLANK(RawData[[#This Row],[Bachelor''s Degree Premium (Over HS)]])=0,_xlfn.RANK.AVG(RawData[[#This Row],[Bachelor''s Degree Premium (Over HS)]],RawData[Bachelor''s Degree Premium (Over HS)]),"")</f>
        <v>3</v>
      </c>
      <c r="T31">
        <f>IF(COUNTBLANK(RawData[[#This Row],[2023 Attainment of Bachelor''s Degree or higher]])=0,_xlfn.RANK.AVG(RawData[[#This Row],[2023 Attainment of Bachelor''s Degree or higher]],RawData[2023 Attainment of Bachelor''s Degree or higher],1),"")</f>
        <v>49</v>
      </c>
      <c r="U31">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24</v>
      </c>
    </row>
    <row r="32" spans="1:21" x14ac:dyDescent="0.35">
      <c r="A32" s="29" t="s">
        <v>128</v>
      </c>
      <c r="B32" s="30" t="s">
        <v>129</v>
      </c>
      <c r="C32">
        <f>IF(COUNTBLANK(RawData[[#This Row],[Associate Degree Premium (Over HS)]])=0,_xlfn.RANK.AVG(RawData[[#This Row],[Associate Degree Premium (Over HS)]],RawData[Associate Degree Premium (Over HS)]),"")</f>
        <v>3.5</v>
      </c>
      <c r="D32">
        <f>IF(COUNTBLANK(RawData[[#This Row],[High-Opp Job Openings per 1,000 working age residents]])=0,_xlfn.RANK.AVG(RawData[[#This Row],[High-Opp Job Openings per 1,000 working age residents]],RawData[High-Opp Job Openings per 1,000 working age residents],0),"")</f>
        <v>43</v>
      </c>
      <c r="E32">
        <f>IF(COUNTBLANK(RawData[[#This Row],[2024 Annual Unemployment Rate]])=0,_xlfn.RANK.AVG(RawData[[#This Row],[2024 Annual Unemployment Rate]],RawData[2024 Annual Unemployment Rate],0),"")</f>
        <v>17.5</v>
      </c>
      <c r="F32">
        <f>IF(COUNTBLANK(RawData[[#This Row],[2023 Attainment of Associate''s Degree or Higher (25 - 64 year olds)]])=0,_xlfn.RANK.AVG(RawData[[#This Row],[2023 Attainment of Associate''s Degree or Higher (25 - 64 year olds)]],RawData[2023 Attainment of Associate''s Degree or Higher (25 - 64 year olds)],1),"")</f>
        <v>9</v>
      </c>
      <c r="G32">
        <f>IF(COUNTBLANK(RawData[[#This Row],[SCNC Under 65 Counts Per 1,000 Undergrad Enrollment]])=0,_xlfn.RANK.AVG(RawData[[#This Row],[SCNC Under 65 Counts Per 1,000 Undergrad Enrollment]],RawData[SCNC Under 65 Counts Per 1,000 Undergrad Enrollment],0),"")</f>
        <v>25</v>
      </c>
      <c r="H32" s="31"/>
      <c r="I32">
        <f t="shared" si="0"/>
        <v>28.666666666666668</v>
      </c>
      <c r="J32">
        <f t="shared" si="1"/>
        <v>33</v>
      </c>
      <c r="K32" s="31"/>
      <c r="L32">
        <f t="shared" si="5"/>
        <v>30.833333333333336</v>
      </c>
      <c r="M32">
        <f t="shared" si="2"/>
        <v>11</v>
      </c>
      <c r="N32" s="31"/>
      <c r="O32">
        <f>IF(A32='State Detail'!BM$7,1,0)</f>
        <v>0</v>
      </c>
      <c r="P32" s="24" t="e">
        <f t="shared" si="3"/>
        <v>#N/A</v>
      </c>
      <c r="Q32" s="24" t="e">
        <f t="shared" si="4"/>
        <v>#N/A</v>
      </c>
      <c r="R32" s="31"/>
      <c r="S32">
        <f>IF(COUNTBLANK(RawData[[#This Row],[Bachelor''s Degree Premium (Over HS)]])=0,_xlfn.RANK.AVG(RawData[[#This Row],[Bachelor''s Degree Premium (Over HS)]],RawData[Bachelor''s Degree Premium (Over HS)]),"")</f>
        <v>14</v>
      </c>
      <c r="T32">
        <f>IF(COUNTBLANK(RawData[[#This Row],[2023 Attainment of Bachelor''s Degree or higher]])=0,_xlfn.RANK.AVG(RawData[[#This Row],[2023 Attainment of Bachelor''s Degree or higher]],RawData[2023 Attainment of Bachelor''s Degree or higher],1),"")</f>
        <v>9</v>
      </c>
      <c r="U32">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43</v>
      </c>
    </row>
    <row r="33" spans="1:21" x14ac:dyDescent="0.35">
      <c r="A33" s="29" t="s">
        <v>130</v>
      </c>
      <c r="B33" s="30" t="s">
        <v>131</v>
      </c>
      <c r="C33">
        <f>IF(COUNTBLANK(RawData[[#This Row],[Associate Degree Premium (Over HS)]])=0,_xlfn.RANK.AVG(RawData[[#This Row],[Associate Degree Premium (Over HS)]],RawData[Associate Degree Premium (Over HS)]),"")</f>
        <v>9</v>
      </c>
      <c r="D33">
        <f>IF(COUNTBLANK(RawData[[#This Row],[High-Opp Job Openings per 1,000 working age residents]])=0,_xlfn.RANK.AVG(RawData[[#This Row],[High-Opp Job Openings per 1,000 working age residents]],RawData[High-Opp Job Openings per 1,000 working age residents],0),"")</f>
        <v>48</v>
      </c>
      <c r="E33">
        <f>IF(COUNTBLANK(RawData[[#This Row],[2024 Annual Unemployment Rate]])=0,_xlfn.RANK.AVG(RawData[[#This Row],[2024 Annual Unemployment Rate]],RawData[2024 Annual Unemployment Rate],0),"")</f>
        <v>11.5</v>
      </c>
      <c r="F33">
        <f>IF(COUNTBLANK(RawData[[#This Row],[2023 Attainment of Associate''s Degree or Higher (25 - 64 year olds)]])=0,_xlfn.RANK.AVG(RawData[[#This Row],[2023 Attainment of Associate''s Degree or Higher (25 - 64 year olds)]],RawData[2023 Attainment of Associate''s Degree or Higher (25 - 64 year olds)],1),"")</f>
        <v>42.5</v>
      </c>
      <c r="G33">
        <f>IF(COUNTBLANK(RawData[[#This Row],[SCNC Under 65 Counts Per 1,000 Undergrad Enrollment]])=0,_xlfn.RANK.AVG(RawData[[#This Row],[SCNC Under 65 Counts Per 1,000 Undergrad Enrollment]],RawData[SCNC Under 65 Counts Per 1,000 Undergrad Enrollment],0),"")</f>
        <v>7</v>
      </c>
      <c r="H33" s="31"/>
      <c r="I33">
        <f t="shared" si="0"/>
        <v>27.166666666666668</v>
      </c>
      <c r="J33">
        <f t="shared" si="1"/>
        <v>25.25</v>
      </c>
      <c r="K33" s="31"/>
      <c r="L33">
        <f t="shared" si="5"/>
        <v>26.208333333333336</v>
      </c>
      <c r="M33">
        <f t="shared" si="2"/>
        <v>19</v>
      </c>
      <c r="N33" s="31"/>
      <c r="O33">
        <f>IF(A33='State Detail'!BM$7,1,0)</f>
        <v>0</v>
      </c>
      <c r="P33" s="24" t="e">
        <f t="shared" si="3"/>
        <v>#N/A</v>
      </c>
      <c r="Q33" s="24" t="e">
        <f t="shared" si="4"/>
        <v>#N/A</v>
      </c>
      <c r="R33" s="31"/>
      <c r="S33">
        <f>IF(COUNTBLANK(RawData[[#This Row],[Bachelor''s Degree Premium (Over HS)]])=0,_xlfn.RANK.AVG(RawData[[#This Row],[Bachelor''s Degree Premium (Over HS)]],RawData[Bachelor''s Degree Premium (Over HS)]),"")</f>
        <v>2</v>
      </c>
      <c r="T33">
        <f>IF(COUNTBLANK(RawData[[#This Row],[2023 Attainment of Bachelor''s Degree or higher]])=0,_xlfn.RANK.AVG(RawData[[#This Row],[2023 Attainment of Bachelor''s Degree or higher]],RawData[2023 Attainment of Bachelor''s Degree or higher],1),"")</f>
        <v>43</v>
      </c>
      <c r="U33">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49</v>
      </c>
    </row>
    <row r="34" spans="1:21" x14ac:dyDescent="0.35">
      <c r="A34" s="29" t="s">
        <v>134</v>
      </c>
      <c r="B34" s="30" t="s">
        <v>135</v>
      </c>
      <c r="C34">
        <f>IF(COUNTBLANK(RawData[[#This Row],[Associate Degree Premium (Over HS)]])=0,_xlfn.RANK.AVG(RawData[[#This Row],[Associate Degree Premium (Over HS)]],RawData[Associate Degree Premium (Over HS)]),"")</f>
        <v>22</v>
      </c>
      <c r="D34">
        <f>IF(COUNTBLANK(RawData[[#This Row],[High-Opp Job Openings per 1,000 working age residents]])=0,_xlfn.RANK.AVG(RawData[[#This Row],[High-Opp Job Openings per 1,000 working age residents]],RawData[High-Opp Job Openings per 1,000 working age residents],0),"")</f>
        <v>33</v>
      </c>
      <c r="E34">
        <f>IF(COUNTBLANK(RawData[[#This Row],[2024 Annual Unemployment Rate]])=0,_xlfn.RANK.AVG(RawData[[#This Row],[2024 Annual Unemployment Rate]],RawData[2024 Annual Unemployment Rate],0),"")</f>
        <v>25.5</v>
      </c>
      <c r="F34">
        <f>IF(COUNTBLANK(RawData[[#This Row],[2023 Attainment of Associate''s Degree or Higher (25 - 64 year olds)]])=0,_xlfn.RANK.AVG(RawData[[#This Row],[2023 Attainment of Associate''s Degree or Higher (25 - 64 year olds)]],RawData[2023 Attainment of Associate''s Degree or Higher (25 - 64 year olds)],1),"")</f>
        <v>29</v>
      </c>
      <c r="G34">
        <f>IF(COUNTBLANK(RawData[[#This Row],[SCNC Under 65 Counts Per 1,000 Undergrad Enrollment]])=0,_xlfn.RANK.AVG(RawData[[#This Row],[SCNC Under 65 Counts Per 1,000 Undergrad Enrollment]],RawData[SCNC Under 65 Counts Per 1,000 Undergrad Enrollment],0),"")</f>
        <v>23</v>
      </c>
      <c r="H34" s="31"/>
      <c r="I34">
        <f t="shared" si="0"/>
        <v>23.166666666666668</v>
      </c>
      <c r="J34">
        <f t="shared" si="1"/>
        <v>24</v>
      </c>
      <c r="K34" s="31"/>
      <c r="L34">
        <f t="shared" si="5"/>
        <v>23.583333333333336</v>
      </c>
      <c r="M34">
        <f t="shared" si="2"/>
        <v>25</v>
      </c>
      <c r="N34" s="31"/>
      <c r="O34">
        <f>IF(A34='State Detail'!BM$7,1,0)</f>
        <v>0</v>
      </c>
      <c r="P34" s="24" t="e">
        <f t="shared" si="3"/>
        <v>#N/A</v>
      </c>
      <c r="Q34" s="24" t="e">
        <f t="shared" si="4"/>
        <v>#N/A</v>
      </c>
      <c r="R34" s="31"/>
      <c r="S34">
        <f>IF(COUNTBLANK(RawData[[#This Row],[Bachelor''s Degree Premium (Over HS)]])=0,_xlfn.RANK.AVG(RawData[[#This Row],[Bachelor''s Degree Premium (Over HS)]],RawData[Bachelor''s Degree Premium (Over HS)]),"")</f>
        <v>11</v>
      </c>
      <c r="T34">
        <f>IF(COUNTBLANK(RawData[[#This Row],[2023 Attainment of Bachelor''s Degree or higher]])=0,_xlfn.RANK.AVG(RawData[[#This Row],[2023 Attainment of Bachelor''s Degree or higher]],RawData[2023 Attainment of Bachelor''s Degree or higher],1),"")</f>
        <v>31</v>
      </c>
      <c r="U34">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9</v>
      </c>
    </row>
    <row r="35" spans="1:21" x14ac:dyDescent="0.35">
      <c r="A35" s="29" t="s">
        <v>137</v>
      </c>
      <c r="B35" s="30" t="s">
        <v>138</v>
      </c>
      <c r="C35">
        <f>IF(COUNTBLANK(RawData[[#This Row],[Associate Degree Premium (Over HS)]])=0,_xlfn.RANK.AVG(RawData[[#This Row],[Associate Degree Premium (Over HS)]],RawData[Associate Degree Premium (Over HS)]),"")</f>
        <v>43</v>
      </c>
      <c r="D35">
        <f>IF(COUNTBLANK(RawData[[#This Row],[High-Opp Job Openings per 1,000 working age residents]])=0,_xlfn.RANK.AVG(RawData[[#This Row],[High-Opp Job Openings per 1,000 working age residents]],RawData[High-Opp Job Openings per 1,000 working age residents],0),"")</f>
        <v>4</v>
      </c>
      <c r="E35">
        <f>IF(COUNTBLANK(RawData[[#This Row],[2024 Annual Unemployment Rate]])=0,_xlfn.RANK.AVG(RawData[[#This Row],[2024 Annual Unemployment Rate]],RawData[2024 Annual Unemployment Rate],0),"")</f>
        <v>48</v>
      </c>
      <c r="F35">
        <f>IF(COUNTBLANK(RawData[[#This Row],[2023 Attainment of Associate''s Degree or Higher (25 - 64 year olds)]])=0,_xlfn.RANK.AVG(RawData[[#This Row],[2023 Attainment of Associate''s Degree or Higher (25 - 64 year olds)]],RawData[2023 Attainment of Associate''s Degree or Higher (25 - 64 year olds)],1),"")</f>
        <v>40</v>
      </c>
      <c r="G35">
        <f>IF(COUNTBLANK(RawData[[#This Row],[SCNC Under 65 Counts Per 1,000 Undergrad Enrollment]])=0,_xlfn.RANK.AVG(RawData[[#This Row],[SCNC Under 65 Counts Per 1,000 Undergrad Enrollment]],RawData[SCNC Under 65 Counts Per 1,000 Undergrad Enrollment],0),"")</f>
        <v>30</v>
      </c>
      <c r="H35" s="31"/>
      <c r="I35">
        <f t="shared" si="0"/>
        <v>18.333333333333332</v>
      </c>
      <c r="J35">
        <f t="shared" si="1"/>
        <v>15</v>
      </c>
      <c r="K35" s="31"/>
      <c r="L35">
        <f t="shared" si="5"/>
        <v>16.666666666666664</v>
      </c>
      <c r="M35">
        <f t="shared" si="2"/>
        <v>44</v>
      </c>
      <c r="N35" s="31"/>
      <c r="O35">
        <f>IF(A35='State Detail'!BM$7,1,0)</f>
        <v>0</v>
      </c>
      <c r="P35" s="24" t="e">
        <f t="shared" si="3"/>
        <v>#N/A</v>
      </c>
      <c r="Q35" s="24" t="e">
        <f t="shared" si="4"/>
        <v>#N/A</v>
      </c>
      <c r="R35" s="31"/>
      <c r="S35">
        <f>IF(COUNTBLANK(RawData[[#This Row],[Bachelor''s Degree Premium (Over HS)]])=0,_xlfn.RANK.AVG(RawData[[#This Row],[Bachelor''s Degree Premium (Over HS)]],RawData[Bachelor''s Degree Premium (Over HS)]),"")</f>
        <v>48</v>
      </c>
      <c r="T35">
        <f>IF(COUNTBLANK(RawData[[#This Row],[2023 Attainment of Bachelor''s Degree or higher]])=0,_xlfn.RANK.AVG(RawData[[#This Row],[2023 Attainment of Bachelor''s Degree or higher]],RawData[2023 Attainment of Bachelor''s Degree or higher],1),"")</f>
        <v>24</v>
      </c>
      <c r="U35">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18</v>
      </c>
    </row>
    <row r="36" spans="1:21" x14ac:dyDescent="0.35">
      <c r="A36" s="29" t="s">
        <v>139</v>
      </c>
      <c r="B36" s="30" t="s">
        <v>140</v>
      </c>
      <c r="C36">
        <f>IF(COUNTBLANK(RawData[[#This Row],[Associate Degree Premium (Over HS)]])=0,_xlfn.RANK.AVG(RawData[[#This Row],[Associate Degree Premium (Over HS)]],RawData[Associate Degree Premium (Over HS)]),"")</f>
        <v>31.5</v>
      </c>
      <c r="D36">
        <f>IF(COUNTBLANK(RawData[[#This Row],[High-Opp Job Openings per 1,000 working age residents]])=0,_xlfn.RANK.AVG(RawData[[#This Row],[High-Opp Job Openings per 1,000 working age residents]],RawData[High-Opp Job Openings per 1,000 working age residents],0),"")</f>
        <v>31</v>
      </c>
      <c r="E36">
        <f>IF(COUNTBLANK(RawData[[#This Row],[2024 Annual Unemployment Rate]])=0,_xlfn.RANK.AVG(RawData[[#This Row],[2024 Annual Unemployment Rate]],RawData[2024 Annual Unemployment Rate],0),"")</f>
        <v>11.5</v>
      </c>
      <c r="F36">
        <f>IF(COUNTBLANK(RawData[[#This Row],[2023 Attainment of Associate''s Degree or Higher (25 - 64 year olds)]])=0,_xlfn.RANK.AVG(RawData[[#This Row],[2023 Attainment of Associate''s Degree or Higher (25 - 64 year olds)]],RawData[2023 Attainment of Associate''s Degree or Higher (25 - 64 year olds)],1),"")</f>
        <v>16</v>
      </c>
      <c r="G36">
        <f>IF(COUNTBLANK(RawData[[#This Row],[SCNC Under 65 Counts Per 1,000 Undergrad Enrollment]])=0,_xlfn.RANK.AVG(RawData[[#This Row],[SCNC Under 65 Counts Per 1,000 Undergrad Enrollment]],RawData[SCNC Under 65 Counts Per 1,000 Undergrad Enrollment],0),"")</f>
        <v>47</v>
      </c>
      <c r="H36" s="31"/>
      <c r="I36">
        <f t="shared" si="0"/>
        <v>25.333333333333332</v>
      </c>
      <c r="J36">
        <f t="shared" si="1"/>
        <v>18.5</v>
      </c>
      <c r="K36" s="31"/>
      <c r="L36">
        <f t="shared" si="5"/>
        <v>21.916666666666664</v>
      </c>
      <c r="M36">
        <f t="shared" si="2"/>
        <v>33</v>
      </c>
      <c r="N36" s="31"/>
      <c r="O36">
        <f>IF(A36='State Detail'!BM$7,1,0)</f>
        <v>0</v>
      </c>
      <c r="P36" s="24" t="e">
        <f t="shared" si="3"/>
        <v>#N/A</v>
      </c>
      <c r="Q36" s="24" t="e">
        <f t="shared" si="4"/>
        <v>#N/A</v>
      </c>
      <c r="R36" s="31"/>
      <c r="S36">
        <f>IF(COUNTBLANK(RawData[[#This Row],[Bachelor''s Degree Premium (Over HS)]])=0,_xlfn.RANK.AVG(RawData[[#This Row],[Bachelor''s Degree Premium (Over HS)]],RawData[Bachelor''s Degree Premium (Over HS)]),"")</f>
        <v>20</v>
      </c>
      <c r="T36">
        <f>IF(COUNTBLANK(RawData[[#This Row],[2023 Attainment of Bachelor''s Degree or higher]])=0,_xlfn.RANK.AVG(RawData[[#This Row],[2023 Attainment of Bachelor''s Degree or higher]],RawData[2023 Attainment of Bachelor''s Degree or higher],1),"")</f>
        <v>18.5</v>
      </c>
      <c r="U36">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21</v>
      </c>
    </row>
    <row r="37" spans="1:21" x14ac:dyDescent="0.35">
      <c r="A37" s="29" t="s">
        <v>142</v>
      </c>
      <c r="B37" s="30" t="s">
        <v>143</v>
      </c>
      <c r="C37">
        <f>IF(COUNTBLANK(RawData[[#This Row],[Associate Degree Premium (Over HS)]])=0,_xlfn.RANK.AVG(RawData[[#This Row],[Associate Degree Premium (Over HS)]],RawData[Associate Degree Premium (Over HS)]),"")</f>
        <v>10</v>
      </c>
      <c r="D37">
        <f>IF(COUNTBLANK(RawData[[#This Row],[High-Opp Job Openings per 1,000 working age residents]])=0,_xlfn.RANK.AVG(RawData[[#This Row],[High-Opp Job Openings per 1,000 working age residents]],RawData[High-Opp Job Openings per 1,000 working age residents],0),"")</f>
        <v>32</v>
      </c>
      <c r="E37">
        <f>IF(COUNTBLANK(RawData[[#This Row],[2024 Annual Unemployment Rate]])=0,_xlfn.RANK.AVG(RawData[[#This Row],[2024 Annual Unemployment Rate]],RawData[2024 Annual Unemployment Rate],0),"")</f>
        <v>32</v>
      </c>
      <c r="F37">
        <f>IF(COUNTBLANK(RawData[[#This Row],[2023 Attainment of Associate''s Degree or Higher (25 - 64 year olds)]])=0,_xlfn.RANK.AVG(RawData[[#This Row],[2023 Attainment of Associate''s Degree or Higher (25 - 64 year olds)]],RawData[2023 Attainment of Associate''s Degree or Higher (25 - 64 year olds)],1),"")</f>
        <v>6</v>
      </c>
      <c r="G37">
        <f>IF(COUNTBLANK(RawData[[#This Row],[SCNC Under 65 Counts Per 1,000 Undergrad Enrollment]])=0,_xlfn.RANK.AVG(RawData[[#This Row],[SCNC Under 65 Counts Per 1,000 Undergrad Enrollment]],RawData[SCNC Under 65 Counts Per 1,000 Undergrad Enrollment],0),"")</f>
        <v>10</v>
      </c>
      <c r="H37" s="31"/>
      <c r="I37">
        <f t="shared" si="0"/>
        <v>25.333333333333332</v>
      </c>
      <c r="J37">
        <f t="shared" si="1"/>
        <v>42</v>
      </c>
      <c r="K37" s="31"/>
      <c r="L37">
        <f t="shared" si="5"/>
        <v>33.666666666666664</v>
      </c>
      <c r="M37">
        <f t="shared" si="2"/>
        <v>6</v>
      </c>
      <c r="N37" s="31"/>
      <c r="O37">
        <f>IF(A37='State Detail'!BM$7,1,0)</f>
        <v>0</v>
      </c>
      <c r="P37" s="24" t="e">
        <f t="shared" si="3"/>
        <v>#N/A</v>
      </c>
      <c r="Q37" s="24" t="e">
        <f t="shared" si="4"/>
        <v>#N/A</v>
      </c>
      <c r="R37" s="31"/>
      <c r="S37">
        <f>IF(COUNTBLANK(RawData[[#This Row],[Bachelor''s Degree Premium (Over HS)]])=0,_xlfn.RANK.AVG(RawData[[#This Row],[Bachelor''s Degree Premium (Over HS)]],RawData[Bachelor''s Degree Premium (Over HS)]),"")</f>
        <v>35</v>
      </c>
      <c r="T37">
        <f>IF(COUNTBLANK(RawData[[#This Row],[2023 Attainment of Bachelor''s Degree or higher]])=0,_xlfn.RANK.AVG(RawData[[#This Row],[2023 Attainment of Bachelor''s Degree or higher]],RawData[2023 Attainment of Bachelor''s Degree or higher],1),"")</f>
        <v>6</v>
      </c>
      <c r="U37">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26</v>
      </c>
    </row>
    <row r="38" spans="1:21" x14ac:dyDescent="0.35">
      <c r="A38" s="29" t="s">
        <v>144</v>
      </c>
      <c r="B38" s="30" t="s">
        <v>145</v>
      </c>
      <c r="C38">
        <f>IF(COUNTBLANK(RawData[[#This Row],[Associate Degree Premium (Over HS)]])=0,_xlfn.RANK.AVG(RawData[[#This Row],[Associate Degree Premium (Over HS)]],RawData[Associate Degree Premium (Over HS)]),"")</f>
        <v>25</v>
      </c>
      <c r="D38">
        <f>IF(COUNTBLANK(RawData[[#This Row],[High-Opp Job Openings per 1,000 working age residents]])=0,_xlfn.RANK.AVG(RawData[[#This Row],[High-Opp Job Openings per 1,000 working age residents]],RawData[High-Opp Job Openings per 1,000 working age residents],0),"")</f>
        <v>38</v>
      </c>
      <c r="E38">
        <f>IF(COUNTBLANK(RawData[[#This Row],[2024 Annual Unemployment Rate]])=0,_xlfn.RANK.AVG(RawData[[#This Row],[2024 Annual Unemployment Rate]],RawData[2024 Annual Unemployment Rate],0),"")</f>
        <v>14.5</v>
      </c>
      <c r="F38">
        <f>IF(COUNTBLANK(RawData[[#This Row],[2023 Attainment of Associate''s Degree or Higher (25 - 64 year olds)]])=0,_xlfn.RANK.AVG(RawData[[#This Row],[2023 Attainment of Associate''s Degree or Higher (25 - 64 year olds)]],RawData[2023 Attainment of Associate''s Degree or Higher (25 - 64 year olds)],1),"")</f>
        <v>27</v>
      </c>
      <c r="G38">
        <f>IF(COUNTBLANK(RawData[[#This Row],[SCNC Under 65 Counts Per 1,000 Undergrad Enrollment]])=0,_xlfn.RANK.AVG(RawData[[#This Row],[SCNC Under 65 Counts Per 1,000 Undergrad Enrollment]],RawData[SCNC Under 65 Counts Per 1,000 Undergrad Enrollment],0),"")</f>
        <v>11</v>
      </c>
      <c r="H38" s="31"/>
      <c r="I38">
        <f t="shared" si="0"/>
        <v>24.166666666666668</v>
      </c>
      <c r="J38">
        <f t="shared" si="1"/>
        <v>31</v>
      </c>
      <c r="K38" s="31"/>
      <c r="L38">
        <f t="shared" si="5"/>
        <v>27.583333333333336</v>
      </c>
      <c r="M38">
        <f t="shared" si="2"/>
        <v>17</v>
      </c>
      <c r="N38" s="31"/>
      <c r="O38">
        <f>IF(A38='State Detail'!BM$7,1,0)</f>
        <v>0</v>
      </c>
      <c r="P38" s="24" t="e">
        <f t="shared" si="3"/>
        <v>#N/A</v>
      </c>
      <c r="Q38" s="24" t="e">
        <f t="shared" si="4"/>
        <v>#N/A</v>
      </c>
      <c r="R38" s="31"/>
      <c r="S38">
        <f>IF(COUNTBLANK(RawData[[#This Row],[Bachelor''s Degree Premium (Over HS)]])=0,_xlfn.RANK.AVG(RawData[[#This Row],[Bachelor''s Degree Premium (Over HS)]],RawData[Bachelor''s Degree Premium (Over HS)]),"")</f>
        <v>16.5</v>
      </c>
      <c r="T38">
        <f>IF(COUNTBLANK(RawData[[#This Row],[2023 Attainment of Bachelor''s Degree or higher]])=0,_xlfn.RANK.AVG(RawData[[#This Row],[2023 Attainment of Bachelor''s Degree or higher]],RawData[2023 Attainment of Bachelor''s Degree or higher],1),"")</f>
        <v>34</v>
      </c>
      <c r="U38">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15</v>
      </c>
    </row>
    <row r="39" spans="1:21" x14ac:dyDescent="0.35">
      <c r="A39" s="29" t="s">
        <v>146</v>
      </c>
      <c r="B39" s="30" t="s">
        <v>147</v>
      </c>
      <c r="C39">
        <f>IF(COUNTBLANK(RawData[[#This Row],[Associate Degree Premium (Over HS)]])=0,_xlfn.RANK.AVG(RawData[[#This Row],[Associate Degree Premium (Over HS)]],RawData[Associate Degree Premium (Over HS)]),"")</f>
        <v>23.5</v>
      </c>
      <c r="D39">
        <f>IF(COUNTBLANK(RawData[[#This Row],[High-Opp Job Openings per 1,000 working age residents]])=0,_xlfn.RANK.AVG(RawData[[#This Row],[High-Opp Job Openings per 1,000 working age residents]],RawData[High-Opp Job Openings per 1,000 working age residents],0),"")</f>
        <v>18</v>
      </c>
      <c r="E39">
        <f>IF(COUNTBLANK(RawData[[#This Row],[2024 Annual Unemployment Rate]])=0,_xlfn.RANK.AVG(RawData[[#This Row],[2024 Annual Unemployment Rate]],RawData[2024 Annual Unemployment Rate],0),"")</f>
        <v>25.5</v>
      </c>
      <c r="F39">
        <f>IF(COUNTBLANK(RawData[[#This Row],[2023 Attainment of Associate''s Degree or Higher (25 - 64 year olds)]])=0,_xlfn.RANK.AVG(RawData[[#This Row],[2023 Attainment of Associate''s Degree or Higher (25 - 64 year olds)]],RawData[2023 Attainment of Associate''s Degree or Higher (25 - 64 year olds)],1),"")</f>
        <v>33</v>
      </c>
      <c r="G39">
        <f>IF(COUNTBLANK(RawData[[#This Row],[SCNC Under 65 Counts Per 1,000 Undergrad Enrollment]])=0,_xlfn.RANK.AVG(RawData[[#This Row],[SCNC Under 65 Counts Per 1,000 Undergrad Enrollment]],RawData[SCNC Under 65 Counts Per 1,000 Undergrad Enrollment],0),"")</f>
        <v>3</v>
      </c>
      <c r="H39" s="31"/>
      <c r="I39">
        <f t="shared" si="0"/>
        <v>27.666666666666668</v>
      </c>
      <c r="J39">
        <f t="shared" si="1"/>
        <v>32</v>
      </c>
      <c r="K39" s="31"/>
      <c r="L39">
        <f t="shared" si="5"/>
        <v>29.833333333333336</v>
      </c>
      <c r="M39">
        <f t="shared" si="2"/>
        <v>12</v>
      </c>
      <c r="N39" s="31"/>
      <c r="O39">
        <f>IF(A39='State Detail'!BM$7,1,0)</f>
        <v>0</v>
      </c>
      <c r="P39" s="24" t="e">
        <f t="shared" si="3"/>
        <v>#N/A</v>
      </c>
      <c r="Q39" s="24" t="e">
        <f t="shared" si="4"/>
        <v>#N/A</v>
      </c>
      <c r="R39" s="31"/>
      <c r="S39">
        <f>IF(COUNTBLANK(RawData[[#This Row],[Bachelor''s Degree Premium (Over HS)]])=0,_xlfn.RANK.AVG(RawData[[#This Row],[Bachelor''s Degree Premium (Over HS)]],RawData[Bachelor''s Degree Premium (Over HS)]),"")</f>
        <v>18</v>
      </c>
      <c r="T39">
        <f>IF(COUNTBLANK(RawData[[#This Row],[2023 Attainment of Bachelor''s Degree or higher]])=0,_xlfn.RANK.AVG(RawData[[#This Row],[2023 Attainment of Bachelor''s Degree or higher]],RawData[2023 Attainment of Bachelor''s Degree or higher],1),"")</f>
        <v>35</v>
      </c>
      <c r="U39">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25</v>
      </c>
    </row>
    <row r="40" spans="1:21" x14ac:dyDescent="0.35">
      <c r="A40" s="29" t="s">
        <v>148</v>
      </c>
      <c r="B40" s="30" t="s">
        <v>149</v>
      </c>
      <c r="C40">
        <f>IF(COUNTBLANK(RawData[[#This Row],[Associate Degree Premium (Over HS)]])=0,_xlfn.RANK.AVG(RawData[[#This Row],[Associate Degree Premium (Over HS)]],RawData[Associate Degree Premium (Over HS)]),"")</f>
        <v>17</v>
      </c>
      <c r="D40">
        <f>IF(COUNTBLANK(RawData[[#This Row],[High-Opp Job Openings per 1,000 working age residents]])=0,_xlfn.RANK.AVG(RawData[[#This Row],[High-Opp Job Openings per 1,000 working age residents]],RawData[High-Opp Job Openings per 1,000 working age residents],0),"")</f>
        <v>25</v>
      </c>
      <c r="E40">
        <f>IF(COUNTBLANK(RawData[[#This Row],[2024 Annual Unemployment Rate]])=0,_xlfn.RANK.AVG(RawData[[#This Row],[2024 Annual Unemployment Rate]],RawData[2024 Annual Unemployment Rate],0),"")</f>
        <v>11.5</v>
      </c>
      <c r="F40">
        <f>IF(COUNTBLANK(RawData[[#This Row],[2023 Attainment of Associate''s Degree or Higher (25 - 64 year olds)]])=0,_xlfn.RANK.AVG(RawData[[#This Row],[2023 Attainment of Associate''s Degree or Higher (25 - 64 year olds)]],RawData[2023 Attainment of Associate''s Degree or Higher (25 - 64 year olds)],1),"")</f>
        <v>34</v>
      </c>
      <c r="G40">
        <f>IF(COUNTBLANK(RawData[[#This Row],[SCNC Under 65 Counts Per 1,000 Undergrad Enrollment]])=0,_xlfn.RANK.AVG(RawData[[#This Row],[SCNC Under 65 Counts Per 1,000 Undergrad Enrollment]],RawData[SCNC Under 65 Counts Per 1,000 Undergrad Enrollment],0),"")</f>
        <v>29</v>
      </c>
      <c r="H40" s="31"/>
      <c r="I40">
        <f t="shared" si="0"/>
        <v>32.166666666666671</v>
      </c>
      <c r="J40">
        <f t="shared" si="1"/>
        <v>18.5</v>
      </c>
      <c r="K40" s="31"/>
      <c r="L40">
        <f t="shared" si="5"/>
        <v>25.333333333333336</v>
      </c>
      <c r="M40">
        <f t="shared" si="2"/>
        <v>20</v>
      </c>
      <c r="N40" s="31"/>
      <c r="O40">
        <f>IF(A40='State Detail'!BM$7,1,0)</f>
        <v>0</v>
      </c>
      <c r="P40" s="24" t="e">
        <f t="shared" si="3"/>
        <v>#N/A</v>
      </c>
      <c r="Q40" s="24" t="e">
        <f t="shared" si="4"/>
        <v>#N/A</v>
      </c>
      <c r="R40" s="31"/>
      <c r="S40">
        <f>IF(COUNTBLANK(RawData[[#This Row],[Bachelor''s Degree Premium (Over HS)]])=0,_xlfn.RANK.AVG(RawData[[#This Row],[Bachelor''s Degree Premium (Over HS)]],RawData[Bachelor''s Degree Premium (Over HS)]),"")</f>
        <v>33</v>
      </c>
      <c r="T40">
        <f>IF(COUNTBLANK(RawData[[#This Row],[2023 Attainment of Bachelor''s Degree or higher]])=0,_xlfn.RANK.AVG(RawData[[#This Row],[2023 Attainment of Bachelor''s Degree or higher]],RawData[2023 Attainment of Bachelor''s Degree or higher],1),"")</f>
        <v>38</v>
      </c>
      <c r="U40">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34</v>
      </c>
    </row>
    <row r="41" spans="1:21" x14ac:dyDescent="0.35">
      <c r="A41" s="29" t="s">
        <v>150</v>
      </c>
      <c r="B41" s="30" t="s">
        <v>151</v>
      </c>
      <c r="C41">
        <f>IF(COUNTBLANK(RawData[[#This Row],[Associate Degree Premium (Over HS)]])=0,_xlfn.RANK.AVG(RawData[[#This Row],[Associate Degree Premium (Over HS)]],RawData[Associate Degree Premium (Over HS)]),"")</f>
        <v>15</v>
      </c>
      <c r="D41">
        <f>IF(COUNTBLANK(RawData[[#This Row],[High-Opp Job Openings per 1,000 working age residents]])=0,_xlfn.RANK.AVG(RawData[[#This Row],[High-Opp Job Openings per 1,000 working age residents]],RawData[High-Opp Job Openings per 1,000 working age residents],0),"")</f>
        <v>15</v>
      </c>
      <c r="E41">
        <f>IF(COUNTBLANK(RawData[[#This Row],[2024 Annual Unemployment Rate]])=0,_xlfn.RANK.AVG(RawData[[#This Row],[2024 Annual Unemployment Rate]],RawData[2024 Annual Unemployment Rate],0),"")</f>
        <v>17.5</v>
      </c>
      <c r="F41">
        <f>IF(COUNTBLANK(RawData[[#This Row],[2023 Attainment of Associate''s Degree or Higher (25 - 64 year olds)]])=0,_xlfn.RANK.AVG(RawData[[#This Row],[2023 Attainment of Associate''s Degree or Higher (25 - 64 year olds)]],RawData[2023 Attainment of Associate''s Degree or Higher (25 - 64 year olds)],1),"")</f>
        <v>18</v>
      </c>
      <c r="G41">
        <f>IF(COUNTBLANK(RawData[[#This Row],[SCNC Under 65 Counts Per 1,000 Undergrad Enrollment]])=0,_xlfn.RANK.AVG(RawData[[#This Row],[SCNC Under 65 Counts Per 1,000 Undergrad Enrollment]],RawData[SCNC Under 65 Counts Per 1,000 Undergrad Enrollment],0),"")</f>
        <v>36</v>
      </c>
      <c r="H41" s="31"/>
      <c r="I41">
        <f t="shared" si="0"/>
        <v>34.166666666666664</v>
      </c>
      <c r="J41">
        <f t="shared" si="1"/>
        <v>23</v>
      </c>
      <c r="K41" s="31"/>
      <c r="L41">
        <f t="shared" si="5"/>
        <v>28.583333333333332</v>
      </c>
      <c r="M41">
        <f t="shared" si="2"/>
        <v>14</v>
      </c>
      <c r="N41" s="31"/>
      <c r="O41">
        <f>IF(A41='State Detail'!BM$7,1,0)</f>
        <v>0</v>
      </c>
      <c r="P41" s="24" t="e">
        <f t="shared" si="3"/>
        <v>#N/A</v>
      </c>
      <c r="Q41" s="24" t="e">
        <f t="shared" si="4"/>
        <v>#N/A</v>
      </c>
      <c r="R41" s="31"/>
      <c r="S41">
        <f>IF(COUNTBLANK(RawData[[#This Row],[Bachelor''s Degree Premium (Over HS)]])=0,_xlfn.RANK.AVG(RawData[[#This Row],[Bachelor''s Degree Premium (Over HS)]],RawData[Bachelor''s Degree Premium (Over HS)]),"")</f>
        <v>27</v>
      </c>
      <c r="T41">
        <f>IF(COUNTBLANK(RawData[[#This Row],[2023 Attainment of Bachelor''s Degree or higher]])=0,_xlfn.RANK.AVG(RawData[[#This Row],[2023 Attainment of Bachelor''s Degree or higher]],RawData[2023 Attainment of Bachelor''s Degree or higher],1),"")</f>
        <v>15</v>
      </c>
      <c r="U41">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28.5</v>
      </c>
    </row>
    <row r="42" spans="1:21" x14ac:dyDescent="0.35">
      <c r="A42" s="29" t="s">
        <v>153</v>
      </c>
      <c r="B42" s="30" t="s">
        <v>154</v>
      </c>
      <c r="C42">
        <f>IF(COUNTBLANK(RawData[[#This Row],[Associate Degree Premium (Over HS)]])=0,_xlfn.RANK.AVG(RawData[[#This Row],[Associate Degree Premium (Over HS)]],RawData[Associate Degree Premium (Over HS)]),"")</f>
        <v>37</v>
      </c>
      <c r="D42">
        <f>IF(COUNTBLANK(RawData[[#This Row],[High-Opp Job Openings per 1,000 working age residents]])=0,_xlfn.RANK.AVG(RawData[[#This Row],[High-Opp Job Openings per 1,000 working age residents]],RawData[High-Opp Job Openings per 1,000 working age residents],0),"")</f>
        <v>8</v>
      </c>
      <c r="E42">
        <f>IF(COUNTBLANK(RawData[[#This Row],[2024 Annual Unemployment Rate]])=0,_xlfn.RANK.AVG(RawData[[#This Row],[2024 Annual Unemployment Rate]],RawData[2024 Annual Unemployment Rate],0),"")</f>
        <v>50</v>
      </c>
      <c r="F42">
        <f>IF(COUNTBLANK(RawData[[#This Row],[2023 Attainment of Associate''s Degree or Higher (25 - 64 year olds)]])=0,_xlfn.RANK.AVG(RawData[[#This Row],[2023 Attainment of Associate''s Degree or Higher (25 - 64 year olds)]],RawData[2023 Attainment of Associate''s Degree or Higher (25 - 64 year olds)],1),"")</f>
        <v>31</v>
      </c>
      <c r="G42">
        <f>IF(COUNTBLANK(RawData[[#This Row],[SCNC Under 65 Counts Per 1,000 Undergrad Enrollment]])=0,_xlfn.RANK.AVG(RawData[[#This Row],[SCNC Under 65 Counts Per 1,000 Undergrad Enrollment]],RawData[SCNC Under 65 Counts Per 1,000 Undergrad Enrollment],0),"")</f>
        <v>35</v>
      </c>
      <c r="H42" s="31"/>
      <c r="I42">
        <f t="shared" si="0"/>
        <v>18.333333333333332</v>
      </c>
      <c r="J42">
        <f t="shared" si="1"/>
        <v>17</v>
      </c>
      <c r="K42" s="31"/>
      <c r="L42">
        <f t="shared" si="5"/>
        <v>17.666666666666664</v>
      </c>
      <c r="M42">
        <f t="shared" si="2"/>
        <v>42</v>
      </c>
      <c r="N42" s="31"/>
      <c r="O42">
        <f>IF(A42='State Detail'!BM$7,1,0)</f>
        <v>0</v>
      </c>
      <c r="P42" s="24" t="e">
        <f t="shared" si="3"/>
        <v>#N/A</v>
      </c>
      <c r="Q42" s="24" t="e">
        <f t="shared" si="4"/>
        <v>#N/A</v>
      </c>
      <c r="R42" s="31"/>
      <c r="S42">
        <f>IF(COUNTBLANK(RawData[[#This Row],[Bachelor''s Degree Premium (Over HS)]])=0,_xlfn.RANK.AVG(RawData[[#This Row],[Bachelor''s Degree Premium (Over HS)]],RawData[Bachelor''s Degree Premium (Over HS)]),"")</f>
        <v>47</v>
      </c>
      <c r="T42">
        <f>IF(COUNTBLANK(RawData[[#This Row],[2023 Attainment of Bachelor''s Degree or higher]])=0,_xlfn.RANK.AVG(RawData[[#This Row],[2023 Attainment of Bachelor''s Degree or higher]],RawData[2023 Attainment of Bachelor''s Degree or higher],1),"")</f>
        <v>17</v>
      </c>
      <c r="U42">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38</v>
      </c>
    </row>
    <row r="43" spans="1:21" x14ac:dyDescent="0.35">
      <c r="A43" s="29" t="s">
        <v>155</v>
      </c>
      <c r="B43" s="30" t="s">
        <v>156</v>
      </c>
      <c r="C43">
        <f>IF(COUNTBLANK(RawData[[#This Row],[Associate Degree Premium (Over HS)]])=0,_xlfn.RANK.AVG(RawData[[#This Row],[Associate Degree Premium (Over HS)]],RawData[Associate Degree Premium (Over HS)]),"")</f>
        <v>27</v>
      </c>
      <c r="D43">
        <f>IF(COUNTBLANK(RawData[[#This Row],[High-Opp Job Openings per 1,000 working age residents]])=0,_xlfn.RANK.AVG(RawData[[#This Row],[High-Opp Job Openings per 1,000 working age residents]],RawData[High-Opp Job Openings per 1,000 working age residents],0),"")</f>
        <v>30</v>
      </c>
      <c r="E43">
        <f>IF(COUNTBLANK(RawData[[#This Row],[2024 Annual Unemployment Rate]])=0,_xlfn.RANK.AVG(RawData[[#This Row],[2024 Annual Unemployment Rate]],RawData[2024 Annual Unemployment Rate],0),"")</f>
        <v>30.5</v>
      </c>
      <c r="F43">
        <f>IF(COUNTBLANK(RawData[[#This Row],[2023 Attainment of Associate''s Degree or Higher (25 - 64 year olds)]])=0,_xlfn.RANK.AVG(RawData[[#This Row],[2023 Attainment of Associate''s Degree or Higher (25 - 64 year olds)]],RawData[2023 Attainment of Associate''s Degree or Higher (25 - 64 year olds)],1),"")</f>
        <v>10</v>
      </c>
      <c r="G43">
        <f>IF(COUNTBLANK(RawData[[#This Row],[SCNC Under 65 Counts Per 1,000 Undergrad Enrollment]])=0,_xlfn.RANK.AVG(RawData[[#This Row],[SCNC Under 65 Counts Per 1,000 Undergrad Enrollment]],RawData[SCNC Under 65 Counts Per 1,000 Undergrad Enrollment],0),"")</f>
        <v>32</v>
      </c>
      <c r="H43" s="31"/>
      <c r="I43">
        <f t="shared" si="0"/>
        <v>20.833333333333332</v>
      </c>
      <c r="J43">
        <f t="shared" si="1"/>
        <v>29</v>
      </c>
      <c r="K43" s="31"/>
      <c r="L43">
        <f t="shared" si="5"/>
        <v>24.916666666666664</v>
      </c>
      <c r="M43">
        <f t="shared" si="2"/>
        <v>22</v>
      </c>
      <c r="N43" s="31"/>
      <c r="O43">
        <f>IF(A43='State Detail'!BM$7,1,0)</f>
        <v>0</v>
      </c>
      <c r="P43" s="24" t="e">
        <f t="shared" si="3"/>
        <v>#N/A</v>
      </c>
      <c r="Q43" s="24" t="e">
        <f t="shared" si="4"/>
        <v>#N/A</v>
      </c>
      <c r="R43" s="31"/>
      <c r="S43">
        <f>IF(COUNTBLANK(RawData[[#This Row],[Bachelor''s Degree Premium (Over HS)]])=0,_xlfn.RANK.AVG(RawData[[#This Row],[Bachelor''s Degree Premium (Over HS)]],RawData[Bachelor''s Degree Premium (Over HS)]),"")</f>
        <v>30</v>
      </c>
      <c r="T43">
        <f>IF(COUNTBLANK(RawData[[#This Row],[2023 Attainment of Bachelor''s Degree or higher]])=0,_xlfn.RANK.AVG(RawData[[#This Row],[2023 Attainment of Bachelor''s Degree or higher]],RawData[2023 Attainment of Bachelor''s Degree or higher],1),"")</f>
        <v>14</v>
      </c>
      <c r="U43">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17</v>
      </c>
    </row>
    <row r="44" spans="1:21" x14ac:dyDescent="0.35">
      <c r="A44" s="29" t="s">
        <v>158</v>
      </c>
      <c r="B44" s="30" t="s">
        <v>159</v>
      </c>
      <c r="C44">
        <f>IF(COUNTBLANK(RawData[[#This Row],[Associate Degree Premium (Over HS)]])=0,_xlfn.RANK.AVG(RawData[[#This Row],[Associate Degree Premium (Over HS)]],RawData[Associate Degree Premium (Over HS)]),"")</f>
        <v>6</v>
      </c>
      <c r="D44">
        <f>IF(COUNTBLANK(RawData[[#This Row],[High-Opp Job Openings per 1,000 working age residents]])=0,_xlfn.RANK.AVG(RawData[[#This Row],[High-Opp Job Openings per 1,000 working age residents]],RawData[High-Opp Job Openings per 1,000 working age residents],0),"")</f>
        <v>17</v>
      </c>
      <c r="E44">
        <f>IF(COUNTBLANK(RawData[[#This Row],[2024 Annual Unemployment Rate]])=0,_xlfn.RANK.AVG(RawData[[#This Row],[2024 Annual Unemployment Rate]],RawData[2024 Annual Unemployment Rate],0),"")</f>
        <v>17.5</v>
      </c>
      <c r="F44">
        <f>IF(COUNTBLANK(RawData[[#This Row],[2023 Attainment of Associate''s Degree or Higher (25 - 64 year olds)]])=0,_xlfn.RANK.AVG(RawData[[#This Row],[2023 Attainment of Associate''s Degree or Higher (25 - 64 year olds)]],RawData[2023 Attainment of Associate''s Degree or Higher (25 - 64 year olds)],1),"")</f>
        <v>14</v>
      </c>
      <c r="G44">
        <f>IF(COUNTBLANK(RawData[[#This Row],[SCNC Under 65 Counts Per 1,000 Undergrad Enrollment]])=0,_xlfn.RANK.AVG(RawData[[#This Row],[SCNC Under 65 Counts Per 1,000 Undergrad Enrollment]],RawData[SCNC Under 65 Counts Per 1,000 Undergrad Enrollment],0),"")</f>
        <v>45</v>
      </c>
      <c r="H44" s="31"/>
      <c r="I44">
        <f t="shared" si="0"/>
        <v>36.5</v>
      </c>
      <c r="J44">
        <f t="shared" si="1"/>
        <v>20.5</v>
      </c>
      <c r="K44" s="31"/>
      <c r="L44">
        <f t="shared" si="5"/>
        <v>28.5</v>
      </c>
      <c r="M44">
        <f t="shared" si="2"/>
        <v>15</v>
      </c>
      <c r="N44" s="31"/>
      <c r="O44">
        <f>IF(A44='State Detail'!BM$7,1,0)</f>
        <v>0</v>
      </c>
      <c r="P44" s="24" t="e">
        <f t="shared" si="3"/>
        <v>#N/A</v>
      </c>
      <c r="Q44" s="24" t="e">
        <f t="shared" si="4"/>
        <v>#N/A</v>
      </c>
      <c r="R44" s="31"/>
      <c r="S44">
        <f>IF(COUNTBLANK(RawData[[#This Row],[Bachelor''s Degree Premium (Over HS)]])=0,_xlfn.RANK.AVG(RawData[[#This Row],[Bachelor''s Degree Premium (Over HS)]],RawData[Bachelor''s Degree Premium (Over HS)]),"")</f>
        <v>6</v>
      </c>
      <c r="T44">
        <f>IF(COUNTBLANK(RawData[[#This Row],[2023 Attainment of Bachelor''s Degree or higher]])=0,_xlfn.RANK.AVG(RawData[[#This Row],[2023 Attainment of Bachelor''s Degree or higher]],RawData[2023 Attainment of Bachelor''s Degree or higher],1),"")</f>
        <v>23</v>
      </c>
      <c r="U44">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5</v>
      </c>
    </row>
    <row r="45" spans="1:21" x14ac:dyDescent="0.35">
      <c r="A45" s="29" t="s">
        <v>161</v>
      </c>
      <c r="B45" s="30" t="s">
        <v>162</v>
      </c>
      <c r="C45">
        <f>IF(COUNTBLANK(RawData[[#This Row],[Associate Degree Premium (Over HS)]])=0,_xlfn.RANK.AVG(RawData[[#This Row],[Associate Degree Premium (Over HS)]],RawData[Associate Degree Premium (Over HS)]),"")</f>
        <v>49</v>
      </c>
      <c r="D45">
        <f>IF(COUNTBLANK(RawData[[#This Row],[High-Opp Job Openings per 1,000 working age residents]])=0,_xlfn.RANK.AVG(RawData[[#This Row],[High-Opp Job Openings per 1,000 working age residents]],RawData[High-Opp Job Openings per 1,000 working age residents],0),"")</f>
        <v>1</v>
      </c>
      <c r="E45">
        <f>IF(COUNTBLANK(RawData[[#This Row],[2024 Annual Unemployment Rate]])=0,_xlfn.RANK.AVG(RawData[[#This Row],[2024 Annual Unemployment Rate]],RawData[2024 Annual Unemployment Rate],0),"")</f>
        <v>34.5</v>
      </c>
      <c r="F45">
        <f>IF(COUNTBLANK(RawData[[#This Row],[2023 Attainment of Associate''s Degree or Higher (25 - 64 year olds)]])=0,_xlfn.RANK.AVG(RawData[[#This Row],[2023 Attainment of Associate''s Degree or Higher (25 - 64 year olds)]],RawData[2023 Attainment of Associate''s Degree or Higher (25 - 64 year olds)],1),"")</f>
        <v>35</v>
      </c>
      <c r="G45">
        <f>IF(COUNTBLANK(RawData[[#This Row],[SCNC Under 65 Counts Per 1,000 Undergrad Enrollment]])=0,_xlfn.RANK.AVG(RawData[[#This Row],[SCNC Under 65 Counts Per 1,000 Undergrad Enrollment]],RawData[SCNC Under 65 Counts Per 1,000 Undergrad Enrollment],0),"")</f>
        <v>20</v>
      </c>
      <c r="H45" s="31"/>
      <c r="I45">
        <f t="shared" si="0"/>
        <v>21.833333333333332</v>
      </c>
      <c r="J45">
        <f t="shared" si="1"/>
        <v>22.5</v>
      </c>
      <c r="K45" s="31"/>
      <c r="L45">
        <f t="shared" si="5"/>
        <v>22.166666666666664</v>
      </c>
      <c r="M45">
        <f t="shared" si="2"/>
        <v>31</v>
      </c>
      <c r="N45" s="31"/>
      <c r="O45">
        <f>IF(A45='State Detail'!BM$7,1,0)</f>
        <v>0</v>
      </c>
      <c r="P45" s="24" t="e">
        <f t="shared" si="3"/>
        <v>#N/A</v>
      </c>
      <c r="Q45" s="24" t="e">
        <f t="shared" si="4"/>
        <v>#N/A</v>
      </c>
      <c r="R45" s="31"/>
      <c r="S45">
        <f>IF(COUNTBLANK(RawData[[#This Row],[Bachelor''s Degree Premium (Over HS)]])=0,_xlfn.RANK.AVG(RawData[[#This Row],[Bachelor''s Degree Premium (Over HS)]],RawData[Bachelor''s Degree Premium (Over HS)]),"")</f>
        <v>43</v>
      </c>
      <c r="T45">
        <f>IF(COUNTBLANK(RawData[[#This Row],[2023 Attainment of Bachelor''s Degree or higher]])=0,_xlfn.RANK.AVG(RawData[[#This Row],[2023 Attainment of Bachelor''s Degree or higher]],RawData[2023 Attainment of Bachelor''s Degree or higher],1),"")</f>
        <v>36.5</v>
      </c>
      <c r="U45">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2</v>
      </c>
    </row>
    <row r="46" spans="1:21" x14ac:dyDescent="0.35">
      <c r="A46" s="29" t="s">
        <v>163</v>
      </c>
      <c r="B46" s="30" t="s">
        <v>164</v>
      </c>
      <c r="C46">
        <f>IF(COUNTBLANK(RawData[[#This Row],[Associate Degree Premium (Over HS)]])=0,_xlfn.RANK.AVG(RawData[[#This Row],[Associate Degree Premium (Over HS)]],RawData[Associate Degree Premium (Over HS)]),"")</f>
        <v>34.5</v>
      </c>
      <c r="D46">
        <f>IF(COUNTBLANK(RawData[[#This Row],[High-Opp Job Openings per 1,000 working age residents]])=0,_xlfn.RANK.AVG(RawData[[#This Row],[High-Opp Job Openings per 1,000 working age residents]],RawData[High-Opp Job Openings per 1,000 working age residents],0),"")</f>
        <v>45</v>
      </c>
      <c r="E46">
        <f>IF(COUNTBLANK(RawData[[#This Row],[2024 Annual Unemployment Rate]])=0,_xlfn.RANK.AVG(RawData[[#This Row],[2024 Annual Unemployment Rate]],RawData[2024 Annual Unemployment Rate],0),"")</f>
        <v>49</v>
      </c>
      <c r="F46">
        <f>IF(COUNTBLANK(RawData[[#This Row],[2023 Attainment of Associate''s Degree or Higher (25 - 64 year olds)]])=0,_xlfn.RANK.AVG(RawData[[#This Row],[2023 Attainment of Associate''s Degree or Higher (25 - 64 year olds)]],RawData[2023 Attainment of Associate''s Degree or Higher (25 - 64 year olds)],1),"")</f>
        <v>46</v>
      </c>
      <c r="G46">
        <f>IF(COUNTBLANK(RawData[[#This Row],[SCNC Under 65 Counts Per 1,000 Undergrad Enrollment]])=0,_xlfn.RANK.AVG(RawData[[#This Row],[SCNC Under 65 Counts Per 1,000 Undergrad Enrollment]],RawData[SCNC Under 65 Counts Per 1,000 Undergrad Enrollment],0),"")</f>
        <v>44</v>
      </c>
      <c r="H46" s="31"/>
      <c r="I46">
        <f t="shared" si="0"/>
        <v>7.1666666666666643</v>
      </c>
      <c r="J46">
        <f t="shared" si="1"/>
        <v>5</v>
      </c>
      <c r="K46" s="31"/>
      <c r="L46">
        <f t="shared" si="5"/>
        <v>6.0833333333333321</v>
      </c>
      <c r="M46">
        <f t="shared" si="2"/>
        <v>50</v>
      </c>
      <c r="N46" s="31"/>
      <c r="O46">
        <f>IF(A46='State Detail'!BM$7,1,0)</f>
        <v>0</v>
      </c>
      <c r="P46" s="24" t="e">
        <f t="shared" si="3"/>
        <v>#N/A</v>
      </c>
      <c r="Q46" s="24" t="e">
        <f t="shared" si="4"/>
        <v>#N/A</v>
      </c>
      <c r="R46" s="31"/>
      <c r="S46">
        <f>IF(COUNTBLANK(RawData[[#This Row],[Bachelor''s Degree Premium (Over HS)]])=0,_xlfn.RANK.AVG(RawData[[#This Row],[Bachelor''s Degree Premium (Over HS)]],RawData[Bachelor''s Degree Premium (Over HS)]),"")</f>
        <v>50</v>
      </c>
      <c r="T46">
        <f>IF(COUNTBLANK(RawData[[#This Row],[2023 Attainment of Bachelor''s Degree or higher]])=0,_xlfn.RANK.AVG(RawData[[#This Row],[2023 Attainment of Bachelor''s Degree or higher]],RawData[2023 Attainment of Bachelor''s Degree or higher],1),"")</f>
        <v>44</v>
      </c>
      <c r="U46">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16</v>
      </c>
    </row>
    <row r="47" spans="1:21" x14ac:dyDescent="0.35">
      <c r="A47" s="29" t="s">
        <v>165</v>
      </c>
      <c r="B47" s="30" t="s">
        <v>166</v>
      </c>
      <c r="C47">
        <f>IF(COUNTBLANK(RawData[[#This Row],[Associate Degree Premium (Over HS)]])=0,_xlfn.RANK.AVG(RawData[[#This Row],[Associate Degree Premium (Over HS)]],RawData[Associate Degree Premium (Over HS)]),"")</f>
        <v>18</v>
      </c>
      <c r="D47">
        <f>IF(COUNTBLANK(RawData[[#This Row],[High-Opp Job Openings per 1,000 working age residents]])=0,_xlfn.RANK.AVG(RawData[[#This Row],[High-Opp Job Openings per 1,000 working age residents]],RawData[High-Opp Job Openings per 1,000 working age residents],0),"")</f>
        <v>22</v>
      </c>
      <c r="E47">
        <f>IF(COUNTBLANK(RawData[[#This Row],[2024 Annual Unemployment Rate]])=0,_xlfn.RANK.AVG(RawData[[#This Row],[2024 Annual Unemployment Rate]],RawData[2024 Annual Unemployment Rate],0),"")</f>
        <v>45</v>
      </c>
      <c r="F47">
        <f>IF(COUNTBLANK(RawData[[#This Row],[2023 Attainment of Associate''s Degree or Higher (25 - 64 year olds)]])=0,_xlfn.RANK.AVG(RawData[[#This Row],[2023 Attainment of Associate''s Degree or Higher (25 - 64 year olds)]],RawData[2023 Attainment of Associate''s Degree or Higher (25 - 64 year olds)],1),"")</f>
        <v>42.5</v>
      </c>
      <c r="G47">
        <f>IF(COUNTBLANK(RawData[[#This Row],[SCNC Under 65 Counts Per 1,000 Undergrad Enrollment]])=0,_xlfn.RANK.AVG(RawData[[#This Row],[SCNC Under 65 Counts Per 1,000 Undergrad Enrollment]],RawData[SCNC Under 65 Counts Per 1,000 Undergrad Enrollment],0),"")</f>
        <v>37</v>
      </c>
      <c r="H47" s="31"/>
      <c r="I47">
        <f t="shared" si="0"/>
        <v>21.666666666666668</v>
      </c>
      <c r="J47">
        <f t="shared" si="1"/>
        <v>10.25</v>
      </c>
      <c r="K47" s="31"/>
      <c r="L47">
        <f t="shared" si="5"/>
        <v>15.958333333333334</v>
      </c>
      <c r="M47">
        <f t="shared" si="2"/>
        <v>46</v>
      </c>
      <c r="N47" s="31"/>
      <c r="O47">
        <f>IF(A47='State Detail'!BM$7,1,0)</f>
        <v>0</v>
      </c>
      <c r="P47" s="24" t="e">
        <f t="shared" si="3"/>
        <v>#N/A</v>
      </c>
      <c r="Q47" s="24" t="e">
        <f t="shared" si="4"/>
        <v>#N/A</v>
      </c>
      <c r="R47" s="31"/>
      <c r="S47">
        <f>IF(COUNTBLANK(RawData[[#This Row],[Bachelor''s Degree Premium (Over HS)]])=0,_xlfn.RANK.AVG(RawData[[#This Row],[Bachelor''s Degree Premium (Over HS)]],RawData[Bachelor''s Degree Premium (Over HS)]),"")</f>
        <v>4</v>
      </c>
      <c r="T47">
        <f>IF(COUNTBLANK(RawData[[#This Row],[2023 Attainment of Bachelor''s Degree or higher]])=0,_xlfn.RANK.AVG(RawData[[#This Row],[2023 Attainment of Bachelor''s Degree or higher]],RawData[2023 Attainment of Bachelor''s Degree or higher],1),"")</f>
        <v>45</v>
      </c>
      <c r="U47">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8</v>
      </c>
    </row>
    <row r="48" spans="1:21" x14ac:dyDescent="0.35">
      <c r="A48" s="29" t="s">
        <v>167</v>
      </c>
      <c r="B48" s="30" t="s">
        <v>168</v>
      </c>
      <c r="C48">
        <f>IF(COUNTBLANK(RawData[[#This Row],[Associate Degree Premium (Over HS)]])=0,_xlfn.RANK.AVG(RawData[[#This Row],[Associate Degree Premium (Over HS)]],RawData[Associate Degree Premium (Over HS)]),"")</f>
        <v>26</v>
      </c>
      <c r="D48">
        <f>IF(COUNTBLANK(RawData[[#This Row],[High-Opp Job Openings per 1,000 working age residents]])=0,_xlfn.RANK.AVG(RawData[[#This Row],[High-Opp Job Openings per 1,000 working age residents]],RawData[High-Opp Job Openings per 1,000 working age residents],0),"")</f>
        <v>27</v>
      </c>
      <c r="E48">
        <f>IF(COUNTBLANK(RawData[[#This Row],[2024 Annual Unemployment Rate]])=0,_xlfn.RANK.AVG(RawData[[#This Row],[2024 Annual Unemployment Rate]],RawData[2024 Annual Unemployment Rate],0),"")</f>
        <v>7.5</v>
      </c>
      <c r="F48">
        <f>IF(COUNTBLANK(RawData[[#This Row],[2023 Attainment of Associate''s Degree or Higher (25 - 64 year olds)]])=0,_xlfn.RANK.AVG(RawData[[#This Row],[2023 Attainment of Associate''s Degree or Higher (25 - 64 year olds)]],RawData[2023 Attainment of Associate''s Degree or Higher (25 - 64 year olds)],1),"")</f>
        <v>39</v>
      </c>
      <c r="G48">
        <f>IF(COUNTBLANK(RawData[[#This Row],[SCNC Under 65 Counts Per 1,000 Undergrad Enrollment]])=0,_xlfn.RANK.AVG(RawData[[#This Row],[SCNC Under 65 Counts Per 1,000 Undergrad Enrollment]],RawData[SCNC Under 65 Counts Per 1,000 Undergrad Enrollment],0),"")</f>
        <v>46</v>
      </c>
      <c r="H48" s="31"/>
      <c r="I48">
        <f t="shared" si="0"/>
        <v>29.833333333333332</v>
      </c>
      <c r="J48">
        <f t="shared" si="1"/>
        <v>7.5</v>
      </c>
      <c r="K48" s="31"/>
      <c r="L48">
        <f t="shared" si="5"/>
        <v>18.666666666666664</v>
      </c>
      <c r="M48">
        <f t="shared" si="2"/>
        <v>40</v>
      </c>
      <c r="N48" s="31"/>
      <c r="O48">
        <f>IF(A48='State Detail'!BM$7,1,0)</f>
        <v>0</v>
      </c>
      <c r="P48" s="24" t="e">
        <f t="shared" si="3"/>
        <v>#N/A</v>
      </c>
      <c r="Q48" s="24" t="e">
        <f t="shared" si="4"/>
        <v>#N/A</v>
      </c>
      <c r="R48" s="31"/>
      <c r="S48">
        <f>IF(COUNTBLANK(RawData[[#This Row],[Bachelor''s Degree Premium (Over HS)]])=0,_xlfn.RANK.AVG(RawData[[#This Row],[Bachelor''s Degree Premium (Over HS)]],RawData[Bachelor''s Degree Premium (Over HS)]),"")</f>
        <v>7</v>
      </c>
      <c r="T48">
        <f>IF(COUNTBLANK(RawData[[#This Row],[2023 Attainment of Bachelor''s Degree or higher]])=0,_xlfn.RANK.AVG(RawData[[#This Row],[2023 Attainment of Bachelor''s Degree or higher]],RawData[2023 Attainment of Bachelor''s Degree or higher],1),"")</f>
        <v>40</v>
      </c>
      <c r="U48">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3</v>
      </c>
    </row>
    <row r="49" spans="1:21" x14ac:dyDescent="0.35">
      <c r="A49" s="29" t="s">
        <v>170</v>
      </c>
      <c r="B49" s="30" t="s">
        <v>171</v>
      </c>
      <c r="C49">
        <f>IF(COUNTBLANK(RawData[[#This Row],[Associate Degree Premium (Over HS)]])=0,_xlfn.RANK.AVG(RawData[[#This Row],[Associate Degree Premium (Over HS)]],RawData[Associate Degree Premium (Over HS)]),"")</f>
        <v>5</v>
      </c>
      <c r="D49">
        <f>IF(COUNTBLANK(RawData[[#This Row],[High-Opp Job Openings per 1,000 working age residents]])=0,_xlfn.RANK.AVG(RawData[[#This Row],[High-Opp Job Openings per 1,000 working age residents]],RawData[High-Opp Job Openings per 1,000 working age residents],0),"")</f>
        <v>21</v>
      </c>
      <c r="E49">
        <f>IF(COUNTBLANK(RawData[[#This Row],[2024 Annual Unemployment Rate]])=0,_xlfn.RANK.AVG(RawData[[#This Row],[2024 Annual Unemployment Rate]],RawData[2024 Annual Unemployment Rate],0),"")</f>
        <v>17.5</v>
      </c>
      <c r="F49">
        <f>IF(COUNTBLANK(RawData[[#This Row],[2023 Attainment of Associate''s Degree or Higher (25 - 64 year olds)]])=0,_xlfn.RANK.AVG(RawData[[#This Row],[2023 Attainment of Associate''s Degree or Higher (25 - 64 year olds)]],RawData[2023 Attainment of Associate''s Degree or Higher (25 - 64 year olds)],1),"")</f>
        <v>1</v>
      </c>
      <c r="G49">
        <f>IF(COUNTBLANK(RawData[[#This Row],[SCNC Under 65 Counts Per 1,000 Undergrad Enrollment]])=0,_xlfn.RANK.AVG(RawData[[#This Row],[SCNC Under 65 Counts Per 1,000 Undergrad Enrollment]],RawData[SCNC Under 65 Counts Per 1,000 Undergrad Enrollment],0),"")</f>
        <v>41</v>
      </c>
      <c r="H49" s="31"/>
      <c r="I49">
        <f t="shared" si="0"/>
        <v>35.5</v>
      </c>
      <c r="J49">
        <f t="shared" si="1"/>
        <v>29</v>
      </c>
      <c r="K49" s="31"/>
      <c r="L49">
        <f t="shared" si="5"/>
        <v>32.25</v>
      </c>
      <c r="M49">
        <f t="shared" si="2"/>
        <v>9</v>
      </c>
      <c r="N49" s="31"/>
      <c r="O49">
        <f>IF(A49='State Detail'!BM$7,1,0)</f>
        <v>0</v>
      </c>
      <c r="P49" s="24" t="e">
        <f t="shared" si="3"/>
        <v>#N/A</v>
      </c>
      <c r="Q49" s="24" t="e">
        <f t="shared" si="4"/>
        <v>#N/A</v>
      </c>
      <c r="R49" s="31"/>
      <c r="S49">
        <f>IF(COUNTBLANK(RawData[[#This Row],[Bachelor''s Degree Premium (Over HS)]])=0,_xlfn.RANK.AVG(RawData[[#This Row],[Bachelor''s Degree Premium (Over HS)]],RawData[Bachelor''s Degree Premium (Over HS)]),"")</f>
        <v>31</v>
      </c>
      <c r="T49">
        <f>IF(COUNTBLANK(RawData[[#This Row],[2023 Attainment of Bachelor''s Degree or higher]])=0,_xlfn.RANK.AVG(RawData[[#This Row],[2023 Attainment of Bachelor''s Degree or higher]],RawData[2023 Attainment of Bachelor''s Degree or higher],1),"")</f>
        <v>1.5</v>
      </c>
      <c r="U49">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46</v>
      </c>
    </row>
    <row r="50" spans="1:21" x14ac:dyDescent="0.35">
      <c r="A50" s="29" t="s">
        <v>173</v>
      </c>
      <c r="B50" s="30" t="s">
        <v>174</v>
      </c>
      <c r="C50">
        <f>IF(COUNTBLANK(RawData[[#This Row],[Associate Degree Premium (Over HS)]])=0,_xlfn.RANK.AVG(RawData[[#This Row],[Associate Degree Premium (Over HS)]],RawData[Associate Degree Premium (Over HS)]),"")</f>
        <v>30</v>
      </c>
      <c r="D50">
        <f>IF(COUNTBLANK(RawData[[#This Row],[High-Opp Job Openings per 1,000 working age residents]])=0,_xlfn.RANK.AVG(RawData[[#This Row],[High-Opp Job Openings per 1,000 working age residents]],RawData[High-Opp Job Openings per 1,000 working age residents],0),"")</f>
        <v>16</v>
      </c>
      <c r="E50">
        <f>IF(COUNTBLANK(RawData[[#This Row],[2024 Annual Unemployment Rate]])=0,_xlfn.RANK.AVG(RawData[[#This Row],[2024 Annual Unemployment Rate]],RawData[2024 Annual Unemployment Rate],0),"")</f>
        <v>41.5</v>
      </c>
      <c r="F50">
        <f>IF(COUNTBLANK(RawData[[#This Row],[2023 Attainment of Associate''s Degree or Higher (25 - 64 year olds)]])=0,_xlfn.RANK.AVG(RawData[[#This Row],[2023 Attainment of Associate''s Degree or Higher (25 - 64 year olds)]],RawData[2023 Attainment of Associate''s Degree or Higher (25 - 64 year olds)],1),"")</f>
        <v>31</v>
      </c>
      <c r="G50">
        <f>IF(COUNTBLANK(RawData[[#This Row],[SCNC Under 65 Counts Per 1,000 Undergrad Enrollment]])=0,_xlfn.RANK.AVG(RawData[[#This Row],[SCNC Under 65 Counts Per 1,000 Undergrad Enrollment]],RawData[SCNC Under 65 Counts Per 1,000 Undergrad Enrollment],0),"")</f>
        <v>33</v>
      </c>
      <c r="H50" s="31"/>
      <c r="I50">
        <f t="shared" si="0"/>
        <v>20.833333333333332</v>
      </c>
      <c r="J50">
        <f t="shared" si="1"/>
        <v>18</v>
      </c>
      <c r="K50" s="31"/>
      <c r="L50">
        <f t="shared" si="5"/>
        <v>19.416666666666664</v>
      </c>
      <c r="M50">
        <f t="shared" si="2"/>
        <v>39</v>
      </c>
      <c r="N50" s="31"/>
      <c r="O50">
        <f>IF(A50='State Detail'!BM$7,1,0)</f>
        <v>0</v>
      </c>
      <c r="P50" s="24" t="e">
        <f t="shared" si="3"/>
        <v>#N/A</v>
      </c>
      <c r="Q50" s="24" t="e">
        <f t="shared" si="4"/>
        <v>#N/A</v>
      </c>
      <c r="R50" s="31"/>
      <c r="S50">
        <f>IF(COUNTBLANK(RawData[[#This Row],[Bachelor''s Degree Premium (Over HS)]])=0,_xlfn.RANK.AVG(RawData[[#This Row],[Bachelor''s Degree Premium (Over HS)]],RawData[Bachelor''s Degree Premium (Over HS)]),"")</f>
        <v>39</v>
      </c>
      <c r="T50">
        <f>IF(COUNTBLANK(RawData[[#This Row],[2023 Attainment of Bachelor''s Degree or higher]])=0,_xlfn.RANK.AVG(RawData[[#This Row],[2023 Attainment of Bachelor''s Degree or higher]],RawData[2023 Attainment of Bachelor''s Degree or higher],1),"")</f>
        <v>25</v>
      </c>
      <c r="U50">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35</v>
      </c>
    </row>
    <row r="51" spans="1:21" x14ac:dyDescent="0.35">
      <c r="A51" s="29" t="s">
        <v>175</v>
      </c>
      <c r="B51" s="30" t="s">
        <v>176</v>
      </c>
      <c r="C51">
        <f>IF(COUNTBLANK(RawData[[#This Row],[Associate Degree Premium (Over HS)]])=0,_xlfn.RANK.AVG(RawData[[#This Row],[Associate Degree Premium (Over HS)]],RawData[Associate Degree Premium (Over HS)]),"")</f>
        <v>38.5</v>
      </c>
      <c r="D51">
        <f>IF(COUNTBLANK(RawData[[#This Row],[High-Opp Job Openings per 1,000 working age residents]])=0,_xlfn.RANK.AVG(RawData[[#This Row],[High-Opp Job Openings per 1,000 working age residents]],RawData[High-Opp Job Openings per 1,000 working age residents],0),"")</f>
        <v>47</v>
      </c>
      <c r="E51">
        <f>IF(COUNTBLANK(RawData[[#This Row],[2024 Annual Unemployment Rate]])=0,_xlfn.RANK.AVG(RawData[[#This Row],[2024 Annual Unemployment Rate]],RawData[2024 Annual Unemployment Rate],0),"")</f>
        <v>34.5</v>
      </c>
      <c r="F51">
        <f>IF(COUNTBLANK(RawData[[#This Row],[2023 Attainment of Associate''s Degree or Higher (25 - 64 year olds)]])=0,_xlfn.RANK.AVG(RawData[[#This Row],[2023 Attainment of Associate''s Degree or Higher (25 - 64 year olds)]],RawData[2023 Attainment of Associate''s Degree or Higher (25 - 64 year olds)],1),"")</f>
        <v>19</v>
      </c>
      <c r="G51">
        <f>IF(COUNTBLANK(RawData[[#This Row],[SCNC Under 65 Counts Per 1,000 Undergrad Enrollment]])=0,_xlfn.RANK.AVG(RawData[[#This Row],[SCNC Under 65 Counts Per 1,000 Undergrad Enrollment]],RawData[SCNC Under 65 Counts Per 1,000 Undergrad Enrollment],0),"")</f>
        <v>4</v>
      </c>
      <c r="H51" s="31"/>
      <c r="I51">
        <f t="shared" si="0"/>
        <v>10</v>
      </c>
      <c r="J51">
        <f t="shared" si="1"/>
        <v>38.5</v>
      </c>
      <c r="K51" s="31"/>
      <c r="L51">
        <f t="shared" si="5"/>
        <v>24.25</v>
      </c>
      <c r="M51">
        <f t="shared" si="2"/>
        <v>23</v>
      </c>
      <c r="N51" s="31"/>
      <c r="O51">
        <f>IF(A51='State Detail'!BM$7,1,0)</f>
        <v>0</v>
      </c>
      <c r="P51" s="24" t="e">
        <f t="shared" si="3"/>
        <v>#N/A</v>
      </c>
      <c r="Q51" s="24" t="e">
        <f t="shared" si="4"/>
        <v>#N/A</v>
      </c>
      <c r="R51" s="31"/>
      <c r="S51">
        <f>IF(COUNTBLANK(RawData[[#This Row],[Bachelor''s Degree Premium (Over HS)]])=0,_xlfn.RANK.AVG(RawData[[#This Row],[Bachelor''s Degree Premium (Over HS)]],RawData[Bachelor''s Degree Premium (Over HS)]),"")</f>
        <v>49</v>
      </c>
      <c r="T51">
        <f>IF(COUNTBLANK(RawData[[#This Row],[2023 Attainment of Bachelor''s Degree or higher]])=0,_xlfn.RANK.AVG(RawData[[#This Row],[2023 Attainment of Bachelor''s Degree or higher]],RawData[2023 Attainment of Bachelor''s Degree or higher],1),"")</f>
        <v>10</v>
      </c>
      <c r="U51">
        <f>IF(COUNTBLANK(RawData[[#This Row],[Avgerage Annual High-Opp Job Openings per 1,000 working age residents (Bachelors)]])=0,_xlfn.RANK.AVG(RawData[[#This Row],[Avgerage Annual High-Opp Job Openings per 1,000 working age residents (Bachelors)]],RawData[Avgerage Annual High-Opp Job Openings per 1,000 working age residents (Bachelors)],0),"")</f>
        <v>31</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README</vt:lpstr>
      <vt:lpstr>State Ranking</vt:lpstr>
      <vt:lpstr>State Detail</vt:lpstr>
      <vt:lpstr>All Data</vt:lpstr>
      <vt:lpstr>Raw Data</vt:lpstr>
      <vt:lpstr>Total Data</vt:lpstr>
      <vt:lpstr>Sup Governance Data</vt:lpstr>
      <vt:lpstr>Int Data - Summary</vt:lpstr>
      <vt:lpstr>Int Data - Case 1</vt:lpstr>
      <vt:lpstr>Int Data - Case 2</vt:lpstr>
      <vt:lpstr>Int Data - Case 3</vt:lpstr>
      <vt:lpstr>Int Data - Case 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Elizabeth Davidson Pisacreta</dc:creator>
  <cp:lastModifiedBy>Cameron Childress</cp:lastModifiedBy>
  <cp:lastPrinted>2025-06-27T13:14:40Z</cp:lastPrinted>
  <dcterms:created xsi:type="dcterms:W3CDTF">2025-06-27T12:41:57Z</dcterms:created>
  <dcterms:modified xsi:type="dcterms:W3CDTF">2026-07-16T13:39:22Z</dcterms:modified>
</cp:coreProperties>
</file>